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3_ncr:1_{F1C27606-C33B-486B-88FB-C0F2E4B4B6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mmary" sheetId="1" r:id="rId1"/>
    <sheet name="Inputs" sheetId="2" r:id="rId2"/>
    <sheet name="Sources &amp; Uses" sheetId="3" r:id="rId3"/>
    <sheet name="Debt" sheetId="4" r:id="rId4"/>
    <sheet name="Case A" sheetId="5" r:id="rId5"/>
    <sheet name="Case B" sheetId="6" r:id="rId6"/>
    <sheet name="Downside" sheetId="7" r:id="rId7"/>
    <sheet name="Short bond comparison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8" l="1"/>
  <c r="C5" i="8"/>
  <c r="AB55" i="7"/>
  <c r="D47" i="7"/>
  <c r="D48" i="7" s="1"/>
  <c r="D46" i="7"/>
  <c r="T26" i="7"/>
  <c r="H26" i="7"/>
  <c r="U25" i="7"/>
  <c r="AB17" i="7"/>
  <c r="AA17" i="7"/>
  <c r="Z17" i="7"/>
  <c r="Y17" i="7"/>
  <c r="X17" i="7"/>
  <c r="W17" i="7"/>
  <c r="V17" i="7"/>
  <c r="U17" i="7"/>
  <c r="T17" i="7"/>
  <c r="S17" i="7"/>
  <c r="R17" i="7"/>
  <c r="Q17" i="7"/>
  <c r="P17" i="7"/>
  <c r="O17" i="7"/>
  <c r="N17" i="7"/>
  <c r="M17" i="7"/>
  <c r="L17" i="7"/>
  <c r="K17" i="7"/>
  <c r="J17" i="7"/>
  <c r="I17" i="7"/>
  <c r="H17" i="7"/>
  <c r="G17" i="7"/>
  <c r="F17" i="7"/>
  <c r="E17" i="7"/>
  <c r="D17" i="7"/>
  <c r="AB16" i="7"/>
  <c r="AA16" i="7"/>
  <c r="Z16" i="7"/>
  <c r="Y16" i="7"/>
  <c r="X16" i="7"/>
  <c r="W16" i="7"/>
  <c r="V16" i="7"/>
  <c r="U16" i="7"/>
  <c r="T16" i="7"/>
  <c r="S16" i="7"/>
  <c r="R16" i="7"/>
  <c r="Q16" i="7"/>
  <c r="P16" i="7"/>
  <c r="O16" i="7"/>
  <c r="N16" i="7"/>
  <c r="M16" i="7"/>
  <c r="L16" i="7"/>
  <c r="K16" i="7"/>
  <c r="J16" i="7"/>
  <c r="I16" i="7"/>
  <c r="H16" i="7"/>
  <c r="G16" i="7"/>
  <c r="F16" i="7"/>
  <c r="E16" i="7"/>
  <c r="D16" i="7"/>
  <c r="H12" i="7"/>
  <c r="L8" i="7"/>
  <c r="AB6" i="7"/>
  <c r="AA6" i="7"/>
  <c r="Z6" i="7"/>
  <c r="Y6" i="7"/>
  <c r="X6" i="7"/>
  <c r="X28" i="7" s="1"/>
  <c r="W6" i="7"/>
  <c r="W28" i="7" s="1"/>
  <c r="V6" i="7"/>
  <c r="V28" i="7" s="1"/>
  <c r="U6" i="7"/>
  <c r="U28" i="7" s="1"/>
  <c r="T6" i="7"/>
  <c r="T28" i="7" s="1"/>
  <c r="S6" i="7"/>
  <c r="S28" i="7" s="1"/>
  <c r="R6" i="7"/>
  <c r="R12" i="7" s="1"/>
  <c r="Q6" i="7"/>
  <c r="Q28" i="7" s="1"/>
  <c r="P6" i="7"/>
  <c r="O6" i="7"/>
  <c r="N6" i="7"/>
  <c r="M6" i="7"/>
  <c r="L6" i="7"/>
  <c r="L28" i="7" s="1"/>
  <c r="K6" i="7"/>
  <c r="K28" i="7" s="1"/>
  <c r="J6" i="7"/>
  <c r="J28" i="7" s="1"/>
  <c r="I6" i="7"/>
  <c r="I28" i="7" s="1"/>
  <c r="H6" i="7"/>
  <c r="H28" i="7" s="1"/>
  <c r="G6" i="7"/>
  <c r="G28" i="7" s="1"/>
  <c r="F6" i="7"/>
  <c r="F12" i="7" s="1"/>
  <c r="E6" i="7"/>
  <c r="E28" i="7" s="1"/>
  <c r="D6" i="7"/>
  <c r="AB55" i="6"/>
  <c r="D47" i="6"/>
  <c r="D48" i="6" s="1"/>
  <c r="D46" i="6"/>
  <c r="U25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AB16" i="6"/>
  <c r="AA16" i="6"/>
  <c r="Z16" i="6"/>
  <c r="Y16" i="6"/>
  <c r="X16" i="6"/>
  <c r="W16" i="6"/>
  <c r="V16" i="6"/>
  <c r="U16" i="6"/>
  <c r="T16" i="6"/>
  <c r="S16" i="6"/>
  <c r="R16" i="6"/>
  <c r="Q16" i="6"/>
  <c r="P16" i="6"/>
  <c r="O16" i="6"/>
  <c r="N16" i="6"/>
  <c r="M16" i="6"/>
  <c r="L16" i="6"/>
  <c r="K16" i="6"/>
  <c r="J16" i="6"/>
  <c r="I16" i="6"/>
  <c r="H16" i="6"/>
  <c r="G16" i="6"/>
  <c r="F16" i="6"/>
  <c r="E16" i="6"/>
  <c r="D16" i="6"/>
  <c r="AB12" i="6"/>
  <c r="AA12" i="6"/>
  <c r="Z12" i="6"/>
  <c r="Q12" i="6"/>
  <c r="F12" i="6"/>
  <c r="E8" i="6"/>
  <c r="AB6" i="6"/>
  <c r="AB28" i="6" s="1"/>
  <c r="AA6" i="6"/>
  <c r="AA25" i="6" s="1"/>
  <c r="Z6" i="6"/>
  <c r="Z25" i="6" s="1"/>
  <c r="Y6" i="6"/>
  <c r="Y12" i="6" s="1"/>
  <c r="X6" i="6"/>
  <c r="X25" i="6" s="1"/>
  <c r="W6" i="6"/>
  <c r="W25" i="6" s="1"/>
  <c r="V6" i="6"/>
  <c r="U6" i="6"/>
  <c r="U28" i="6" s="1"/>
  <c r="T6" i="6"/>
  <c r="S6" i="6"/>
  <c r="S8" i="6" s="1"/>
  <c r="R6" i="6"/>
  <c r="R25" i="6" s="1"/>
  <c r="Q6" i="6"/>
  <c r="Q25" i="6" s="1"/>
  <c r="P6" i="6"/>
  <c r="P12" i="6" s="1"/>
  <c r="O6" i="6"/>
  <c r="O12" i="6" s="1"/>
  <c r="N6" i="6"/>
  <c r="N25" i="6" s="1"/>
  <c r="M6" i="6"/>
  <c r="M12" i="6" s="1"/>
  <c r="L6" i="6"/>
  <c r="K6" i="6"/>
  <c r="J6" i="6"/>
  <c r="I6" i="6"/>
  <c r="H6" i="6"/>
  <c r="G6" i="6"/>
  <c r="G8" i="6" s="1"/>
  <c r="F6" i="6"/>
  <c r="F26" i="6" s="1"/>
  <c r="E6" i="6"/>
  <c r="E26" i="6" s="1"/>
  <c r="D6" i="6"/>
  <c r="D26" i="6" s="1"/>
  <c r="AB55" i="5"/>
  <c r="D47" i="5"/>
  <c r="D48" i="5" s="1"/>
  <c r="D46" i="5"/>
  <c r="X26" i="5"/>
  <c r="AA25" i="5"/>
  <c r="Q23" i="5"/>
  <c r="AB17" i="5"/>
  <c r="AA17" i="5"/>
  <c r="Z17" i="5"/>
  <c r="Y17" i="5"/>
  <c r="X17" i="5"/>
  <c r="W17" i="5"/>
  <c r="V17" i="5"/>
  <c r="U17" i="5"/>
  <c r="T17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D17" i="5"/>
  <c r="AB16" i="5"/>
  <c r="AA16" i="5"/>
  <c r="Z16" i="5"/>
  <c r="Y16" i="5"/>
  <c r="X16" i="5"/>
  <c r="W16" i="5"/>
  <c r="V16" i="5"/>
  <c r="U16" i="5"/>
  <c r="T16" i="5"/>
  <c r="S16" i="5"/>
  <c r="R16" i="5"/>
  <c r="Q16" i="5"/>
  <c r="P16" i="5"/>
  <c r="O16" i="5"/>
  <c r="N16" i="5"/>
  <c r="M16" i="5"/>
  <c r="L16" i="5"/>
  <c r="K16" i="5"/>
  <c r="J16" i="5"/>
  <c r="I16" i="5"/>
  <c r="H16" i="5"/>
  <c r="G16" i="5"/>
  <c r="F16" i="5"/>
  <c r="E16" i="5"/>
  <c r="D16" i="5"/>
  <c r="T12" i="5"/>
  <c r="S12" i="5"/>
  <c r="R12" i="5"/>
  <c r="I12" i="5"/>
  <c r="H12" i="5"/>
  <c r="U8" i="5"/>
  <c r="T8" i="5"/>
  <c r="H8" i="5"/>
  <c r="AB6" i="5"/>
  <c r="AB26" i="5" s="1"/>
  <c r="AA6" i="5"/>
  <c r="AA26" i="5" s="1"/>
  <c r="Z6" i="5"/>
  <c r="Z26" i="5" s="1"/>
  <c r="Y6" i="5"/>
  <c r="Y26" i="5" s="1"/>
  <c r="X6" i="5"/>
  <c r="W6" i="5"/>
  <c r="V6" i="5"/>
  <c r="V8" i="5" s="1"/>
  <c r="U6" i="5"/>
  <c r="U12" i="5" s="1"/>
  <c r="T6" i="5"/>
  <c r="S6" i="5"/>
  <c r="R6" i="5"/>
  <c r="Q6" i="5"/>
  <c r="Q12" i="5" s="1"/>
  <c r="P6" i="5"/>
  <c r="P12" i="5" s="1"/>
  <c r="O6" i="5"/>
  <c r="N6" i="5"/>
  <c r="M6" i="5"/>
  <c r="L6" i="5"/>
  <c r="K6" i="5"/>
  <c r="J6" i="5"/>
  <c r="J8" i="5" s="1"/>
  <c r="I6" i="5"/>
  <c r="I8" i="5" s="1"/>
  <c r="H6" i="5"/>
  <c r="G6" i="5"/>
  <c r="G12" i="5" s="1"/>
  <c r="F6" i="5"/>
  <c r="F25" i="5" s="1"/>
  <c r="E6" i="5"/>
  <c r="E26" i="5" s="1"/>
  <c r="D6" i="5"/>
  <c r="D26" i="5" s="1"/>
  <c r="C22" i="4"/>
  <c r="C4" i="8" s="1"/>
  <c r="X13" i="4"/>
  <c r="T13" i="4"/>
  <c r="H13" i="4"/>
  <c r="X9" i="4"/>
  <c r="W9" i="4"/>
  <c r="V9" i="4"/>
  <c r="AB6" i="4"/>
  <c r="AA6" i="4"/>
  <c r="Z6" i="4"/>
  <c r="Y6" i="4"/>
  <c r="Y13" i="4" s="1"/>
  <c r="X6" i="4"/>
  <c r="W6" i="4"/>
  <c r="W13" i="4" s="1"/>
  <c r="V6" i="4"/>
  <c r="V13" i="4" s="1"/>
  <c r="U6" i="4"/>
  <c r="U9" i="4" s="1"/>
  <c r="T6" i="4"/>
  <c r="T9" i="4" s="1"/>
  <c r="S6" i="4"/>
  <c r="S13" i="4" s="1"/>
  <c r="R6" i="4"/>
  <c r="R13" i="4" s="1"/>
  <c r="Q6" i="4"/>
  <c r="Q13" i="4" s="1"/>
  <c r="P6" i="4"/>
  <c r="O6" i="4"/>
  <c r="N6" i="4"/>
  <c r="M6" i="4"/>
  <c r="M13" i="4" s="1"/>
  <c r="L6" i="4"/>
  <c r="L13" i="4" s="1"/>
  <c r="K6" i="4"/>
  <c r="K13" i="4" s="1"/>
  <c r="J6" i="4"/>
  <c r="J13" i="4" s="1"/>
  <c r="I6" i="4"/>
  <c r="I13" i="4" s="1"/>
  <c r="H6" i="4"/>
  <c r="G6" i="4"/>
  <c r="G13" i="4" s="1"/>
  <c r="F6" i="4"/>
  <c r="F13" i="4" s="1"/>
  <c r="E6" i="4"/>
  <c r="E13" i="4" s="1"/>
  <c r="D6" i="4"/>
  <c r="C71" i="2"/>
  <c r="K27" i="5" s="1"/>
  <c r="C60" i="1"/>
  <c r="C54" i="1"/>
  <c r="C53" i="1"/>
  <c r="C49" i="1"/>
  <c r="C48" i="1"/>
  <c r="C41" i="1"/>
  <c r="C9" i="1"/>
  <c r="C8" i="1"/>
  <c r="C7" i="1"/>
  <c r="C6" i="1"/>
  <c r="C5" i="1"/>
  <c r="M24" i="5" l="1"/>
  <c r="F8" i="6"/>
  <c r="R12" i="6"/>
  <c r="I25" i="7"/>
  <c r="E25" i="5"/>
  <c r="J8" i="7"/>
  <c r="U7" i="5"/>
  <c r="U11" i="5" s="1"/>
  <c r="R8" i="6"/>
  <c r="P27" i="5"/>
  <c r="V8" i="7"/>
  <c r="F28" i="7"/>
  <c r="I7" i="5"/>
  <c r="I11" i="5" s="1"/>
  <c r="Q8" i="6"/>
  <c r="H32" i="5"/>
  <c r="D12" i="6"/>
  <c r="X8" i="7"/>
  <c r="R28" i="7"/>
  <c r="AB12" i="5"/>
  <c r="E12" i="6"/>
  <c r="E25" i="6"/>
  <c r="N13" i="4"/>
  <c r="Z13" i="4"/>
  <c r="U13" i="4"/>
  <c r="D12" i="5"/>
  <c r="N12" i="6"/>
  <c r="P26" i="6"/>
  <c r="C6" i="3"/>
  <c r="C61" i="1" s="1"/>
  <c r="C11" i="3"/>
  <c r="O13" i="4"/>
  <c r="AA13" i="4"/>
  <c r="F12" i="5"/>
  <c r="I22" i="5"/>
  <c r="X28" i="6"/>
  <c r="T12" i="7"/>
  <c r="D13" i="4"/>
  <c r="P13" i="4"/>
  <c r="AB13" i="4"/>
  <c r="AA22" i="5"/>
  <c r="K25" i="5"/>
  <c r="W25" i="5"/>
  <c r="J7" i="5"/>
  <c r="V7" i="5"/>
  <c r="E12" i="5"/>
  <c r="J22" i="5"/>
  <c r="AB22" i="5"/>
  <c r="R23" i="5"/>
  <c r="N24" i="5"/>
  <c r="AB25" i="5"/>
  <c r="W27" i="5"/>
  <c r="S32" i="5"/>
  <c r="K7" i="5"/>
  <c r="W7" i="5"/>
  <c r="U9" i="5"/>
  <c r="K22" i="5"/>
  <c r="D23" i="5"/>
  <c r="S23" i="5"/>
  <c r="O24" i="5"/>
  <c r="L25" i="5"/>
  <c r="X27" i="5"/>
  <c r="T32" i="5"/>
  <c r="Y9" i="4"/>
  <c r="M28" i="5"/>
  <c r="Y28" i="5"/>
  <c r="L7" i="5"/>
  <c r="X7" i="5"/>
  <c r="K8" i="5"/>
  <c r="W8" i="5"/>
  <c r="U10" i="5"/>
  <c r="U13" i="5" s="1"/>
  <c r="O22" i="5"/>
  <c r="E23" i="5"/>
  <c r="T23" i="5"/>
  <c r="P24" i="5"/>
  <c r="M25" i="5"/>
  <c r="Y27" i="5"/>
  <c r="V26" i="5"/>
  <c r="V25" i="5"/>
  <c r="C5" i="3"/>
  <c r="Z9" i="4"/>
  <c r="C10" i="8"/>
  <c r="C7" i="8"/>
  <c r="C14" i="8" s="1"/>
  <c r="N28" i="5"/>
  <c r="Z28" i="5"/>
  <c r="M7" i="5"/>
  <c r="Y7" i="5"/>
  <c r="L8" i="5"/>
  <c r="X8" i="5"/>
  <c r="P22" i="5"/>
  <c r="F23" i="5"/>
  <c r="U23" i="5"/>
  <c r="Q24" i="5"/>
  <c r="N25" i="5"/>
  <c r="K26" i="5"/>
  <c r="AB27" i="5"/>
  <c r="J26" i="5"/>
  <c r="J25" i="5"/>
  <c r="AA9" i="4"/>
  <c r="AA28" i="5"/>
  <c r="N7" i="5"/>
  <c r="Z7" i="5"/>
  <c r="M8" i="5"/>
  <c r="Y8" i="5"/>
  <c r="Q22" i="5"/>
  <c r="G23" i="5"/>
  <c r="Z23" i="5"/>
  <c r="R24" i="5"/>
  <c r="O25" i="5"/>
  <c r="L26" i="5"/>
  <c r="D27" i="5"/>
  <c r="J28" i="5"/>
  <c r="AB9" i="4"/>
  <c r="D28" i="5"/>
  <c r="P28" i="5"/>
  <c r="AB28" i="5"/>
  <c r="O7" i="5"/>
  <c r="AA7" i="5"/>
  <c r="N8" i="5"/>
  <c r="Z8" i="5"/>
  <c r="J12" i="5"/>
  <c r="V12" i="5"/>
  <c r="R22" i="5"/>
  <c r="H23" i="5"/>
  <c r="AA23" i="5"/>
  <c r="S24" i="5"/>
  <c r="P25" i="5"/>
  <c r="M26" i="5"/>
  <c r="J27" i="5"/>
  <c r="K28" i="5"/>
  <c r="D12" i="4"/>
  <c r="E28" i="5"/>
  <c r="Q28" i="5"/>
  <c r="D7" i="5"/>
  <c r="P7" i="5"/>
  <c r="AB7" i="5"/>
  <c r="O8" i="5"/>
  <c r="AA8" i="5"/>
  <c r="K12" i="5"/>
  <c r="W12" i="5"/>
  <c r="D22" i="5"/>
  <c r="S22" i="5"/>
  <c r="I23" i="5"/>
  <c r="AB23" i="5"/>
  <c r="Y24" i="5"/>
  <c r="Q25" i="5"/>
  <c r="N26" i="5"/>
  <c r="L28" i="5"/>
  <c r="D34" i="7"/>
  <c r="Z32" i="7"/>
  <c r="N32" i="7"/>
  <c r="AA32" i="7"/>
  <c r="M32" i="7"/>
  <c r="Q27" i="7"/>
  <c r="E27" i="7"/>
  <c r="T24" i="7"/>
  <c r="H24" i="7"/>
  <c r="U23" i="7"/>
  <c r="I23" i="7"/>
  <c r="V22" i="7"/>
  <c r="J22" i="7"/>
  <c r="W7" i="7"/>
  <c r="K7" i="7"/>
  <c r="Y32" i="7"/>
  <c r="L32" i="7"/>
  <c r="AB27" i="7"/>
  <c r="P27" i="7"/>
  <c r="D27" i="7"/>
  <c r="S24" i="7"/>
  <c r="G24" i="7"/>
  <c r="T23" i="7"/>
  <c r="H23" i="7"/>
  <c r="U22" i="7"/>
  <c r="I22" i="7"/>
  <c r="C69" i="7"/>
  <c r="X32" i="7"/>
  <c r="K32" i="7"/>
  <c r="AA27" i="7"/>
  <c r="O27" i="7"/>
  <c r="R24" i="7"/>
  <c r="F24" i="7"/>
  <c r="S23" i="7"/>
  <c r="G23" i="7"/>
  <c r="T22" i="7"/>
  <c r="H22" i="7"/>
  <c r="W32" i="7"/>
  <c r="J32" i="7"/>
  <c r="Z27" i="7"/>
  <c r="N27" i="7"/>
  <c r="Q24" i="7"/>
  <c r="E24" i="7"/>
  <c r="R23" i="7"/>
  <c r="F23" i="7"/>
  <c r="S22" i="7"/>
  <c r="G22" i="7"/>
  <c r="V32" i="7"/>
  <c r="I32" i="7"/>
  <c r="Y27" i="7"/>
  <c r="M27" i="7"/>
  <c r="AB24" i="7"/>
  <c r="P24" i="7"/>
  <c r="D24" i="7"/>
  <c r="Q23" i="7"/>
  <c r="E23" i="7"/>
  <c r="R22" i="7"/>
  <c r="F22" i="7"/>
  <c r="U32" i="7"/>
  <c r="H32" i="7"/>
  <c r="X27" i="7"/>
  <c r="L27" i="7"/>
  <c r="AA24" i="7"/>
  <c r="O24" i="7"/>
  <c r="AB23" i="7"/>
  <c r="P23" i="7"/>
  <c r="D23" i="7"/>
  <c r="Q22" i="7"/>
  <c r="E22" i="7"/>
  <c r="T32" i="7"/>
  <c r="G32" i="7"/>
  <c r="W27" i="7"/>
  <c r="K27" i="7"/>
  <c r="Z24" i="7"/>
  <c r="N24" i="7"/>
  <c r="AA23" i="7"/>
  <c r="O23" i="7"/>
  <c r="AB22" i="7"/>
  <c r="P22" i="7"/>
  <c r="D22" i="7"/>
  <c r="C69" i="6"/>
  <c r="S32" i="7"/>
  <c r="F32" i="7"/>
  <c r="V27" i="7"/>
  <c r="J27" i="7"/>
  <c r="Y24" i="7"/>
  <c r="M24" i="7"/>
  <c r="Z23" i="7"/>
  <c r="N23" i="7"/>
  <c r="AA22" i="7"/>
  <c r="O22" i="7"/>
  <c r="R32" i="7"/>
  <c r="E32" i="7"/>
  <c r="U27" i="7"/>
  <c r="I27" i="7"/>
  <c r="X24" i="7"/>
  <c r="L24" i="7"/>
  <c r="Y23" i="7"/>
  <c r="M23" i="7"/>
  <c r="Z22" i="7"/>
  <c r="N22" i="7"/>
  <c r="Q32" i="7"/>
  <c r="D32" i="7"/>
  <c r="T27" i="7"/>
  <c r="H27" i="7"/>
  <c r="W24" i="7"/>
  <c r="K24" i="7"/>
  <c r="X23" i="7"/>
  <c r="L23" i="7"/>
  <c r="Y22" i="7"/>
  <c r="M22" i="7"/>
  <c r="AB32" i="7"/>
  <c r="O32" i="7"/>
  <c r="R27" i="7"/>
  <c r="F27" i="7"/>
  <c r="U24" i="7"/>
  <c r="I24" i="7"/>
  <c r="V23" i="7"/>
  <c r="J23" i="7"/>
  <c r="W22" i="7"/>
  <c r="K22" i="7"/>
  <c r="M7" i="7"/>
  <c r="V32" i="6"/>
  <c r="J32" i="6"/>
  <c r="Z27" i="6"/>
  <c r="N27" i="6"/>
  <c r="Q24" i="6"/>
  <c r="E24" i="6"/>
  <c r="R23" i="6"/>
  <c r="F23" i="6"/>
  <c r="S22" i="6"/>
  <c r="G22" i="6"/>
  <c r="P32" i="7"/>
  <c r="T32" i="6"/>
  <c r="H32" i="6"/>
  <c r="X27" i="6"/>
  <c r="L27" i="6"/>
  <c r="AA24" i="6"/>
  <c r="O24" i="6"/>
  <c r="AB23" i="6"/>
  <c r="P23" i="6"/>
  <c r="D23" i="6"/>
  <c r="Q22" i="6"/>
  <c r="E22" i="6"/>
  <c r="V24" i="7"/>
  <c r="S32" i="6"/>
  <c r="G32" i="6"/>
  <c r="W27" i="6"/>
  <c r="K27" i="6"/>
  <c r="Z24" i="6"/>
  <c r="N24" i="6"/>
  <c r="AA23" i="6"/>
  <c r="O23" i="6"/>
  <c r="AB22" i="6"/>
  <c r="P22" i="6"/>
  <c r="D22" i="6"/>
  <c r="J24" i="7"/>
  <c r="D34" i="6"/>
  <c r="R32" i="6"/>
  <c r="F32" i="6"/>
  <c r="W23" i="7"/>
  <c r="K23" i="7"/>
  <c r="AB32" i="6"/>
  <c r="P32" i="6"/>
  <c r="D32" i="6"/>
  <c r="T27" i="6"/>
  <c r="H27" i="6"/>
  <c r="W24" i="6"/>
  <c r="K24" i="6"/>
  <c r="X22" i="7"/>
  <c r="AA32" i="6"/>
  <c r="O32" i="6"/>
  <c r="S27" i="6"/>
  <c r="L22" i="7"/>
  <c r="S27" i="7"/>
  <c r="G27" i="7"/>
  <c r="M32" i="6"/>
  <c r="Y27" i="6"/>
  <c r="E27" i="6"/>
  <c r="Y24" i="6"/>
  <c r="H24" i="6"/>
  <c r="Q23" i="6"/>
  <c r="Y22" i="6"/>
  <c r="J22" i="6"/>
  <c r="C69" i="5"/>
  <c r="L32" i="6"/>
  <c r="V27" i="6"/>
  <c r="D27" i="6"/>
  <c r="X24" i="6"/>
  <c r="G24" i="6"/>
  <c r="N23" i="6"/>
  <c r="X22" i="6"/>
  <c r="I22" i="6"/>
  <c r="K32" i="6"/>
  <c r="U27" i="6"/>
  <c r="V24" i="6"/>
  <c r="F24" i="6"/>
  <c r="M23" i="6"/>
  <c r="W22" i="6"/>
  <c r="H22" i="6"/>
  <c r="I32" i="6"/>
  <c r="R27" i="6"/>
  <c r="U24" i="6"/>
  <c r="D24" i="6"/>
  <c r="L23" i="6"/>
  <c r="V22" i="6"/>
  <c r="F22" i="6"/>
  <c r="E32" i="6"/>
  <c r="Q27" i="6"/>
  <c r="T24" i="6"/>
  <c r="Z23" i="6"/>
  <c r="K23" i="6"/>
  <c r="U22" i="6"/>
  <c r="Z32" i="6"/>
  <c r="P27" i="6"/>
  <c r="S24" i="6"/>
  <c r="Y23" i="6"/>
  <c r="J23" i="6"/>
  <c r="T22" i="6"/>
  <c r="Y32" i="6"/>
  <c r="O27" i="6"/>
  <c r="R24" i="6"/>
  <c r="X23" i="6"/>
  <c r="I23" i="6"/>
  <c r="R22" i="6"/>
  <c r="X32" i="6"/>
  <c r="M27" i="6"/>
  <c r="P24" i="6"/>
  <c r="W23" i="6"/>
  <c r="H23" i="6"/>
  <c r="O22" i="6"/>
  <c r="W32" i="6"/>
  <c r="J27" i="6"/>
  <c r="M24" i="6"/>
  <c r="V23" i="6"/>
  <c r="G23" i="6"/>
  <c r="N22" i="6"/>
  <c r="U32" i="6"/>
  <c r="I27" i="6"/>
  <c r="L24" i="6"/>
  <c r="U23" i="6"/>
  <c r="E23" i="6"/>
  <c r="M22" i="6"/>
  <c r="Y7" i="7"/>
  <c r="N32" i="6"/>
  <c r="AA27" i="6"/>
  <c r="F27" i="6"/>
  <c r="AB24" i="6"/>
  <c r="I24" i="6"/>
  <c r="S23" i="6"/>
  <c r="Z22" i="6"/>
  <c r="K22" i="6"/>
  <c r="R7" i="6"/>
  <c r="F7" i="6"/>
  <c r="T23" i="6"/>
  <c r="Q32" i="5"/>
  <c r="E32" i="5"/>
  <c r="U27" i="5"/>
  <c r="I27" i="5"/>
  <c r="X24" i="5"/>
  <c r="L24" i="5"/>
  <c r="Y23" i="5"/>
  <c r="M23" i="5"/>
  <c r="Z22" i="5"/>
  <c r="N22" i="5"/>
  <c r="AA22" i="6"/>
  <c r="AB32" i="5"/>
  <c r="P32" i="5"/>
  <c r="D32" i="5"/>
  <c r="T27" i="5"/>
  <c r="H27" i="5"/>
  <c r="W24" i="5"/>
  <c r="K24" i="5"/>
  <c r="X23" i="5"/>
  <c r="L23" i="5"/>
  <c r="Y22" i="5"/>
  <c r="M22" i="5"/>
  <c r="Q32" i="6"/>
  <c r="L22" i="6"/>
  <c r="AA32" i="5"/>
  <c r="O32" i="5"/>
  <c r="S27" i="5"/>
  <c r="G27" i="5"/>
  <c r="V24" i="5"/>
  <c r="J24" i="5"/>
  <c r="W23" i="5"/>
  <c r="K23" i="5"/>
  <c r="X22" i="5"/>
  <c r="L22" i="5"/>
  <c r="S7" i="6"/>
  <c r="Z32" i="5"/>
  <c r="N32" i="5"/>
  <c r="R27" i="5"/>
  <c r="F27" i="5"/>
  <c r="U24" i="5"/>
  <c r="I24" i="5"/>
  <c r="V23" i="5"/>
  <c r="G7" i="6"/>
  <c r="Y32" i="5"/>
  <c r="M32" i="5"/>
  <c r="Q27" i="5"/>
  <c r="E27" i="5"/>
  <c r="T24" i="5"/>
  <c r="H24" i="5"/>
  <c r="X32" i="5"/>
  <c r="L32" i="5"/>
  <c r="AB27" i="6"/>
  <c r="W32" i="5"/>
  <c r="K32" i="5"/>
  <c r="AA27" i="5"/>
  <c r="G27" i="6"/>
  <c r="V32" i="5"/>
  <c r="J32" i="5"/>
  <c r="Z27" i="5"/>
  <c r="U32" i="5"/>
  <c r="I32" i="5"/>
  <c r="J24" i="6"/>
  <c r="D34" i="5"/>
  <c r="R32" i="5"/>
  <c r="F32" i="5"/>
  <c r="V27" i="5"/>
  <c r="F28" i="5"/>
  <c r="F26" i="5"/>
  <c r="R28" i="5"/>
  <c r="R26" i="5"/>
  <c r="E7" i="5"/>
  <c r="Q7" i="5"/>
  <c r="D8" i="5"/>
  <c r="P8" i="5"/>
  <c r="AB8" i="5"/>
  <c r="L12" i="5"/>
  <c r="X12" i="5"/>
  <c r="E22" i="5"/>
  <c r="T22" i="5"/>
  <c r="J23" i="5"/>
  <c r="D24" i="5"/>
  <c r="Z24" i="5"/>
  <c r="R25" i="5"/>
  <c r="O26" i="5"/>
  <c r="L27" i="5"/>
  <c r="O28" i="5"/>
  <c r="C12" i="3"/>
  <c r="S9" i="4"/>
  <c r="G28" i="5"/>
  <c r="G26" i="5"/>
  <c r="G25" i="5"/>
  <c r="S28" i="5"/>
  <c r="S26" i="5"/>
  <c r="S25" i="5"/>
  <c r="F7" i="5"/>
  <c r="R7" i="5"/>
  <c r="E8" i="5"/>
  <c r="Q8" i="5"/>
  <c r="M12" i="5"/>
  <c r="Y12" i="5"/>
  <c r="F22" i="5"/>
  <c r="U22" i="5"/>
  <c r="N23" i="5"/>
  <c r="E24" i="5"/>
  <c r="AA24" i="5"/>
  <c r="X25" i="5"/>
  <c r="P26" i="5"/>
  <c r="M27" i="5"/>
  <c r="V28" i="5"/>
  <c r="H28" i="5"/>
  <c r="H26" i="5"/>
  <c r="H25" i="5"/>
  <c r="T28" i="5"/>
  <c r="T26" i="5"/>
  <c r="T25" i="5"/>
  <c r="G7" i="5"/>
  <c r="S7" i="5"/>
  <c r="F8" i="5"/>
  <c r="R8" i="5"/>
  <c r="N12" i="5"/>
  <c r="Z12" i="5"/>
  <c r="G22" i="5"/>
  <c r="V22" i="5"/>
  <c r="O23" i="5"/>
  <c r="F24" i="5"/>
  <c r="AB24" i="5"/>
  <c r="Y25" i="5"/>
  <c r="Q26" i="5"/>
  <c r="N27" i="5"/>
  <c r="W28" i="5"/>
  <c r="I26" i="5"/>
  <c r="I25" i="5"/>
  <c r="I28" i="5"/>
  <c r="U26" i="5"/>
  <c r="U25" i="5"/>
  <c r="U28" i="5"/>
  <c r="H7" i="5"/>
  <c r="T7" i="5"/>
  <c r="G8" i="5"/>
  <c r="S8" i="5"/>
  <c r="O12" i="5"/>
  <c r="AA12" i="5"/>
  <c r="H22" i="5"/>
  <c r="W22" i="5"/>
  <c r="P23" i="5"/>
  <c r="G24" i="5"/>
  <c r="D25" i="5"/>
  <c r="Z25" i="5"/>
  <c r="W26" i="5"/>
  <c r="O27" i="5"/>
  <c r="X28" i="5"/>
  <c r="G32" i="5"/>
  <c r="H26" i="6"/>
  <c r="H12" i="6"/>
  <c r="H28" i="6"/>
  <c r="H25" i="6"/>
  <c r="H8" i="6"/>
  <c r="H7" i="6"/>
  <c r="T28" i="6"/>
  <c r="T12" i="6"/>
  <c r="T26" i="6"/>
  <c r="T8" i="6"/>
  <c r="T7" i="6"/>
  <c r="T25" i="6"/>
  <c r="G28" i="6"/>
  <c r="S28" i="6"/>
  <c r="N26" i="6"/>
  <c r="I26" i="6"/>
  <c r="U26" i="6"/>
  <c r="F25" i="6"/>
  <c r="Q26" i="6"/>
  <c r="D28" i="6"/>
  <c r="Z28" i="6"/>
  <c r="J28" i="6"/>
  <c r="J25" i="6"/>
  <c r="V28" i="6"/>
  <c r="V25" i="6"/>
  <c r="I7" i="6"/>
  <c r="U7" i="6"/>
  <c r="G25" i="6"/>
  <c r="R26" i="6"/>
  <c r="E28" i="6"/>
  <c r="AA28" i="6"/>
  <c r="K28" i="6"/>
  <c r="W28" i="6"/>
  <c r="J7" i="6"/>
  <c r="V7" i="6"/>
  <c r="I8" i="6"/>
  <c r="U8" i="6"/>
  <c r="S26" i="6"/>
  <c r="L26" i="6"/>
  <c r="X26" i="6"/>
  <c r="K7" i="6"/>
  <c r="W7" i="6"/>
  <c r="J8" i="6"/>
  <c r="V8" i="6"/>
  <c r="I25" i="6"/>
  <c r="I28" i="6"/>
  <c r="M28" i="6"/>
  <c r="M26" i="6"/>
  <c r="M25" i="6"/>
  <c r="Y28" i="6"/>
  <c r="Y26" i="6"/>
  <c r="Y25" i="6"/>
  <c r="L7" i="6"/>
  <c r="X7" i="6"/>
  <c r="K8" i="6"/>
  <c r="W8" i="6"/>
  <c r="G12" i="6"/>
  <c r="S12" i="6"/>
  <c r="K25" i="6"/>
  <c r="V26" i="6"/>
  <c r="L28" i="6"/>
  <c r="M7" i="6"/>
  <c r="Y7" i="6"/>
  <c r="L8" i="6"/>
  <c r="X8" i="6"/>
  <c r="L25" i="6"/>
  <c r="W26" i="6"/>
  <c r="N28" i="6"/>
  <c r="O26" i="6"/>
  <c r="AA26" i="6"/>
  <c r="N7" i="6"/>
  <c r="Z7" i="6"/>
  <c r="M8" i="6"/>
  <c r="Y8" i="6"/>
  <c r="I12" i="6"/>
  <c r="U12" i="6"/>
  <c r="O25" i="6"/>
  <c r="G26" i="6"/>
  <c r="Z26" i="6"/>
  <c r="O28" i="6"/>
  <c r="D25" i="6"/>
  <c r="D35" i="6"/>
  <c r="P25" i="6"/>
  <c r="AB25" i="6"/>
  <c r="O7" i="6"/>
  <c r="AA7" i="6"/>
  <c r="N8" i="6"/>
  <c r="Z8" i="6"/>
  <c r="J12" i="6"/>
  <c r="V12" i="6"/>
  <c r="AB26" i="6"/>
  <c r="P28" i="6"/>
  <c r="D7" i="6"/>
  <c r="P7" i="6"/>
  <c r="AB7" i="6"/>
  <c r="O8" i="6"/>
  <c r="AA8" i="6"/>
  <c r="K12" i="6"/>
  <c r="W12" i="6"/>
  <c r="J26" i="6"/>
  <c r="Q28" i="6"/>
  <c r="F28" i="6"/>
  <c r="R28" i="6"/>
  <c r="E7" i="6"/>
  <c r="Q7" i="6"/>
  <c r="D8" i="6"/>
  <c r="P8" i="6"/>
  <c r="AB8" i="6"/>
  <c r="L12" i="6"/>
  <c r="X12" i="6"/>
  <c r="S25" i="6"/>
  <c r="K26" i="6"/>
  <c r="N28" i="7"/>
  <c r="N26" i="7"/>
  <c r="N12" i="7"/>
  <c r="N25" i="7"/>
  <c r="N8" i="7"/>
  <c r="N7" i="7"/>
  <c r="Z28" i="7"/>
  <c r="Z26" i="7"/>
  <c r="Z12" i="7"/>
  <c r="Z25" i="7"/>
  <c r="Z8" i="7"/>
  <c r="Z7" i="7"/>
  <c r="L7" i="7"/>
  <c r="X7" i="7"/>
  <c r="K8" i="7"/>
  <c r="W8" i="7"/>
  <c r="G12" i="7"/>
  <c r="S12" i="7"/>
  <c r="H25" i="7"/>
  <c r="T25" i="7"/>
  <c r="G26" i="7"/>
  <c r="S26" i="7"/>
  <c r="M8" i="7"/>
  <c r="Y8" i="7"/>
  <c r="I12" i="7"/>
  <c r="U12" i="7"/>
  <c r="J25" i="7"/>
  <c r="V25" i="7"/>
  <c r="I26" i="7"/>
  <c r="U26" i="7"/>
  <c r="D35" i="7"/>
  <c r="O7" i="7"/>
  <c r="AA7" i="7"/>
  <c r="J12" i="7"/>
  <c r="V12" i="7"/>
  <c r="K25" i="7"/>
  <c r="W25" i="7"/>
  <c r="J26" i="7"/>
  <c r="V26" i="7"/>
  <c r="D7" i="7"/>
  <c r="P7" i="7"/>
  <c r="AB7" i="7"/>
  <c r="O8" i="7"/>
  <c r="AA8" i="7"/>
  <c r="K12" i="7"/>
  <c r="W12" i="7"/>
  <c r="L25" i="7"/>
  <c r="X25" i="7"/>
  <c r="K26" i="7"/>
  <c r="W26" i="7"/>
  <c r="E7" i="7"/>
  <c r="Q7" i="7"/>
  <c r="D8" i="7"/>
  <c r="P8" i="7"/>
  <c r="AB8" i="7"/>
  <c r="L12" i="7"/>
  <c r="X12" i="7"/>
  <c r="M25" i="7"/>
  <c r="Y25" i="7"/>
  <c r="L26" i="7"/>
  <c r="X26" i="7"/>
  <c r="F7" i="7"/>
  <c r="R7" i="7"/>
  <c r="E8" i="7"/>
  <c r="Q8" i="7"/>
  <c r="M12" i="7"/>
  <c r="Y12" i="7"/>
  <c r="M26" i="7"/>
  <c r="Y26" i="7"/>
  <c r="G7" i="7"/>
  <c r="S7" i="7"/>
  <c r="F8" i="7"/>
  <c r="R8" i="7"/>
  <c r="O25" i="7"/>
  <c r="AA25" i="7"/>
  <c r="H7" i="7"/>
  <c r="T7" i="7"/>
  <c r="G8" i="7"/>
  <c r="S8" i="7"/>
  <c r="O12" i="7"/>
  <c r="AA12" i="7"/>
  <c r="D25" i="7"/>
  <c r="P25" i="7"/>
  <c r="AB25" i="7"/>
  <c r="O26" i="7"/>
  <c r="AA26" i="7"/>
  <c r="M28" i="7"/>
  <c r="Y28" i="7"/>
  <c r="I7" i="7"/>
  <c r="U7" i="7"/>
  <c r="H8" i="7"/>
  <c r="T8" i="7"/>
  <c r="D12" i="7"/>
  <c r="P12" i="7"/>
  <c r="AB12" i="7"/>
  <c r="E25" i="7"/>
  <c r="Q25" i="7"/>
  <c r="D26" i="7"/>
  <c r="P26" i="7"/>
  <c r="AB26" i="7"/>
  <c r="J7" i="7"/>
  <c r="V7" i="7"/>
  <c r="I8" i="7"/>
  <c r="U8" i="7"/>
  <c r="E12" i="7"/>
  <c r="Q12" i="7"/>
  <c r="F25" i="7"/>
  <c r="R25" i="7"/>
  <c r="E26" i="7"/>
  <c r="Q26" i="7"/>
  <c r="O28" i="7"/>
  <c r="AA28" i="7"/>
  <c r="G25" i="7"/>
  <c r="S25" i="7"/>
  <c r="F26" i="7"/>
  <c r="R26" i="7"/>
  <c r="D28" i="7"/>
  <c r="P28" i="7"/>
  <c r="AB28" i="7"/>
  <c r="I29" i="5" l="1"/>
  <c r="V29" i="5"/>
  <c r="L29" i="7"/>
  <c r="AA29" i="7"/>
  <c r="I10" i="5"/>
  <c r="I13" i="5" s="1"/>
  <c r="I9" i="5"/>
  <c r="L29" i="5"/>
  <c r="M29" i="5"/>
  <c r="I29" i="6"/>
  <c r="AA29" i="5"/>
  <c r="G29" i="5"/>
  <c r="T29" i="5"/>
  <c r="Z11" i="7"/>
  <c r="Z10" i="7"/>
  <c r="Z9" i="7"/>
  <c r="Q11" i="6"/>
  <c r="Q10" i="6"/>
  <c r="Q9" i="6"/>
  <c r="I9" i="7"/>
  <c r="I10" i="7"/>
  <c r="I13" i="7" s="1"/>
  <c r="I11" i="7"/>
  <c r="R11" i="7"/>
  <c r="R10" i="7"/>
  <c r="R9" i="7"/>
  <c r="L11" i="7"/>
  <c r="L10" i="7"/>
  <c r="L9" i="7"/>
  <c r="H29" i="5"/>
  <c r="F9" i="5"/>
  <c r="F10" i="5"/>
  <c r="F11" i="5"/>
  <c r="W29" i="6"/>
  <c r="O29" i="7"/>
  <c r="P29" i="7"/>
  <c r="Z11" i="5"/>
  <c r="Z10" i="5"/>
  <c r="Z13" i="5" s="1"/>
  <c r="Z9" i="5"/>
  <c r="Y11" i="5"/>
  <c r="Y10" i="5"/>
  <c r="Y9" i="5"/>
  <c r="O29" i="5"/>
  <c r="U64" i="5"/>
  <c r="U71" i="5" s="1"/>
  <c r="U18" i="5"/>
  <c r="S11" i="7"/>
  <c r="S13" i="7" s="1"/>
  <c r="S10" i="7"/>
  <c r="S9" i="7"/>
  <c r="N11" i="7"/>
  <c r="N13" i="7" s="1"/>
  <c r="N10" i="7"/>
  <c r="N9" i="7"/>
  <c r="Z10" i="6"/>
  <c r="Z9" i="6"/>
  <c r="Z11" i="6"/>
  <c r="E29" i="5"/>
  <c r="C73" i="5"/>
  <c r="N29" i="7"/>
  <c r="O11" i="5"/>
  <c r="O10" i="5"/>
  <c r="O9" i="5"/>
  <c r="W11" i="5"/>
  <c r="W10" i="5"/>
  <c r="W9" i="5"/>
  <c r="F11" i="7"/>
  <c r="F10" i="7"/>
  <c r="F9" i="7"/>
  <c r="E34" i="5"/>
  <c r="N11" i="5"/>
  <c r="N13" i="5" s="1"/>
  <c r="N10" i="5"/>
  <c r="N9" i="5"/>
  <c r="Q11" i="7"/>
  <c r="Q13" i="7" s="1"/>
  <c r="Q10" i="7"/>
  <c r="Q9" i="7"/>
  <c r="N10" i="6"/>
  <c r="N9" i="6"/>
  <c r="N11" i="6"/>
  <c r="X11" i="6"/>
  <c r="X10" i="6"/>
  <c r="X9" i="6"/>
  <c r="Y11" i="7"/>
  <c r="Y10" i="7"/>
  <c r="Y9" i="7"/>
  <c r="J29" i="6"/>
  <c r="Z29" i="7"/>
  <c r="S29" i="5"/>
  <c r="K11" i="5"/>
  <c r="K10" i="5"/>
  <c r="K13" i="5" s="1"/>
  <c r="K9" i="5"/>
  <c r="AB29" i="5"/>
  <c r="I14" i="5"/>
  <c r="I19" i="5" s="1"/>
  <c r="AA11" i="5"/>
  <c r="AA10" i="5"/>
  <c r="AA9" i="5"/>
  <c r="E11" i="7"/>
  <c r="E10" i="7"/>
  <c r="E9" i="7"/>
  <c r="Y11" i="6"/>
  <c r="Y10" i="6"/>
  <c r="Y9" i="6"/>
  <c r="L11" i="6"/>
  <c r="L10" i="6"/>
  <c r="L9" i="6"/>
  <c r="T11" i="6"/>
  <c r="T10" i="6"/>
  <c r="T13" i="6" s="1"/>
  <c r="T9" i="6"/>
  <c r="L29" i="6"/>
  <c r="M29" i="6"/>
  <c r="O29" i="6"/>
  <c r="T29" i="6"/>
  <c r="F29" i="6"/>
  <c r="Y29" i="6"/>
  <c r="M29" i="7"/>
  <c r="C73" i="7"/>
  <c r="K11" i="7"/>
  <c r="K13" i="7" s="1"/>
  <c r="K10" i="7"/>
  <c r="K9" i="7"/>
  <c r="D29" i="5"/>
  <c r="J29" i="5"/>
  <c r="G11" i="7"/>
  <c r="G10" i="7"/>
  <c r="G9" i="7"/>
  <c r="T10" i="7"/>
  <c r="T9" i="7"/>
  <c r="T11" i="7"/>
  <c r="H10" i="7"/>
  <c r="H9" i="7"/>
  <c r="H11" i="7"/>
  <c r="AB11" i="7"/>
  <c r="AB10" i="7"/>
  <c r="AB13" i="7" s="1"/>
  <c r="AB9" i="7"/>
  <c r="M11" i="6"/>
  <c r="M10" i="6"/>
  <c r="M9" i="6"/>
  <c r="T11" i="5"/>
  <c r="T10" i="5"/>
  <c r="T9" i="5"/>
  <c r="U29" i="5"/>
  <c r="S11" i="6"/>
  <c r="S10" i="6"/>
  <c r="S13" i="6" s="1"/>
  <c r="S9" i="6"/>
  <c r="AA29" i="6"/>
  <c r="F11" i="6"/>
  <c r="F10" i="6"/>
  <c r="F9" i="6"/>
  <c r="V29" i="6"/>
  <c r="X29" i="7"/>
  <c r="E34" i="6"/>
  <c r="M11" i="7"/>
  <c r="M13" i="7" s="1"/>
  <c r="M10" i="7"/>
  <c r="M9" i="7"/>
  <c r="Y29" i="7"/>
  <c r="I29" i="7"/>
  <c r="W11" i="7"/>
  <c r="W10" i="7"/>
  <c r="W9" i="7"/>
  <c r="W13" i="5"/>
  <c r="X11" i="5"/>
  <c r="X10" i="5"/>
  <c r="X9" i="5"/>
  <c r="I64" i="5"/>
  <c r="I71" i="5" s="1"/>
  <c r="I18" i="5"/>
  <c r="V11" i="6"/>
  <c r="V10" i="6"/>
  <c r="V9" i="6"/>
  <c r="R11" i="6"/>
  <c r="R10" i="6"/>
  <c r="R9" i="6"/>
  <c r="K29" i="7"/>
  <c r="H29" i="7"/>
  <c r="U29" i="7"/>
  <c r="J29" i="7"/>
  <c r="E34" i="7"/>
  <c r="D14" i="4"/>
  <c r="L11" i="5"/>
  <c r="L10" i="5"/>
  <c r="L13" i="5" s="1"/>
  <c r="L9" i="5"/>
  <c r="V11" i="5"/>
  <c r="V10" i="5"/>
  <c r="V9" i="5"/>
  <c r="AA11" i="7"/>
  <c r="AA10" i="7"/>
  <c r="AA9" i="7"/>
  <c r="S9" i="5"/>
  <c r="S11" i="5"/>
  <c r="S10" i="5"/>
  <c r="V11" i="7"/>
  <c r="V13" i="7" s="1"/>
  <c r="V9" i="7"/>
  <c r="V10" i="7"/>
  <c r="D11" i="7"/>
  <c r="D10" i="7"/>
  <c r="D9" i="7"/>
  <c r="O11" i="7"/>
  <c r="O10" i="7"/>
  <c r="O9" i="7"/>
  <c r="E11" i="6"/>
  <c r="E10" i="6"/>
  <c r="E9" i="6"/>
  <c r="P11" i="6"/>
  <c r="P9" i="6"/>
  <c r="P10" i="6"/>
  <c r="AA9" i="6"/>
  <c r="AA10" i="6"/>
  <c r="AA11" i="6"/>
  <c r="J11" i="6"/>
  <c r="J10" i="6"/>
  <c r="J9" i="6"/>
  <c r="U11" i="6"/>
  <c r="U10" i="6"/>
  <c r="U9" i="6"/>
  <c r="G9" i="5"/>
  <c r="G11" i="5"/>
  <c r="G10" i="5"/>
  <c r="Y13" i="5"/>
  <c r="X29" i="5"/>
  <c r="Y29" i="5"/>
  <c r="Z29" i="5"/>
  <c r="K29" i="6"/>
  <c r="X29" i="6"/>
  <c r="D29" i="6"/>
  <c r="E29" i="6"/>
  <c r="G29" i="6"/>
  <c r="W29" i="7"/>
  <c r="T29" i="7"/>
  <c r="V29" i="7"/>
  <c r="J11" i="5"/>
  <c r="J13" i="5" s="1"/>
  <c r="J10" i="5"/>
  <c r="J9" i="5"/>
  <c r="U14" i="5"/>
  <c r="U19" i="5" s="1"/>
  <c r="M11" i="5"/>
  <c r="M10" i="5"/>
  <c r="M9" i="5"/>
  <c r="P11" i="7"/>
  <c r="P13" i="7" s="1"/>
  <c r="P10" i="7"/>
  <c r="P9" i="7"/>
  <c r="F29" i="5"/>
  <c r="Y13" i="7"/>
  <c r="D11" i="6"/>
  <c r="D9" i="6"/>
  <c r="D10" i="6"/>
  <c r="O9" i="6"/>
  <c r="O10" i="6"/>
  <c r="O11" i="6"/>
  <c r="W11" i="6"/>
  <c r="W10" i="6"/>
  <c r="W9" i="6"/>
  <c r="I11" i="6"/>
  <c r="I10" i="6"/>
  <c r="I9" i="6"/>
  <c r="Q10" i="5"/>
  <c r="Q9" i="5"/>
  <c r="Q11" i="5"/>
  <c r="Z29" i="6"/>
  <c r="P29" i="6"/>
  <c r="Q29" i="6"/>
  <c r="S29" i="6"/>
  <c r="G29" i="7"/>
  <c r="D35" i="5"/>
  <c r="R29" i="5"/>
  <c r="AA13" i="5"/>
  <c r="AB11" i="6"/>
  <c r="AB9" i="6"/>
  <c r="AB10" i="6"/>
  <c r="K11" i="6"/>
  <c r="K13" i="6" s="1"/>
  <c r="K10" i="6"/>
  <c r="K9" i="6"/>
  <c r="E10" i="5"/>
  <c r="E9" i="5"/>
  <c r="E11" i="5"/>
  <c r="G11" i="6"/>
  <c r="G10" i="6"/>
  <c r="G9" i="6"/>
  <c r="AB29" i="6"/>
  <c r="F29" i="7"/>
  <c r="S29" i="7"/>
  <c r="AB11" i="5"/>
  <c r="AB10" i="5"/>
  <c r="AB9" i="5"/>
  <c r="V13" i="5"/>
  <c r="Q29" i="5"/>
  <c r="P29" i="5"/>
  <c r="H11" i="5"/>
  <c r="H10" i="5"/>
  <c r="H9" i="5"/>
  <c r="J11" i="7"/>
  <c r="J9" i="7"/>
  <c r="J10" i="7"/>
  <c r="Z13" i="7"/>
  <c r="U13" i="6"/>
  <c r="N29" i="6"/>
  <c r="R29" i="6"/>
  <c r="U29" i="6"/>
  <c r="C73" i="6"/>
  <c r="E29" i="7"/>
  <c r="R29" i="7"/>
  <c r="P11" i="5"/>
  <c r="P10" i="5"/>
  <c r="P9" i="5"/>
  <c r="AB29" i="7"/>
  <c r="N29" i="5"/>
  <c r="G13" i="7"/>
  <c r="U9" i="7"/>
  <c r="U10" i="7"/>
  <c r="U11" i="7"/>
  <c r="L13" i="7"/>
  <c r="X11" i="7"/>
  <c r="X10" i="7"/>
  <c r="X9" i="7"/>
  <c r="I13" i="6"/>
  <c r="H11" i="6"/>
  <c r="H13" i="6" s="1"/>
  <c r="H10" i="6"/>
  <c r="H9" i="6"/>
  <c r="W29" i="5"/>
  <c r="R9" i="5"/>
  <c r="R11" i="5"/>
  <c r="R10" i="5"/>
  <c r="H29" i="6"/>
  <c r="D29" i="7"/>
  <c r="Q29" i="7"/>
  <c r="D11" i="5"/>
  <c r="D10" i="5"/>
  <c r="D9" i="5"/>
  <c r="K29" i="5"/>
  <c r="W13" i="6" l="1"/>
  <c r="L13" i="6"/>
  <c r="X13" i="7"/>
  <c r="D13" i="7"/>
  <c r="E13" i="5"/>
  <c r="E13" i="7"/>
  <c r="H64" i="5"/>
  <c r="H71" i="5" s="1"/>
  <c r="H18" i="5"/>
  <c r="R13" i="5"/>
  <c r="U13" i="7"/>
  <c r="S13" i="5"/>
  <c r="F14" i="6"/>
  <c r="F13" i="6"/>
  <c r="W14" i="5"/>
  <c r="Z64" i="6"/>
  <c r="Z71" i="6" s="1"/>
  <c r="Z18" i="6"/>
  <c r="U20" i="5"/>
  <c r="U30" i="5" s="1"/>
  <c r="F13" i="5"/>
  <c r="I14" i="7"/>
  <c r="I19" i="7" s="1"/>
  <c r="S64" i="6"/>
  <c r="S71" i="6" s="1"/>
  <c r="S18" i="6"/>
  <c r="AB64" i="7"/>
  <c r="AB71" i="7" s="1"/>
  <c r="AB18" i="7"/>
  <c r="Y64" i="6"/>
  <c r="Y71" i="6" s="1"/>
  <c r="Y18" i="6"/>
  <c r="K64" i="5"/>
  <c r="K71" i="5" s="1"/>
  <c r="K18" i="5"/>
  <c r="O64" i="5"/>
  <c r="O71" i="5" s="1"/>
  <c r="O18" i="5"/>
  <c r="F64" i="5"/>
  <c r="F71" i="5" s="1"/>
  <c r="F18" i="5"/>
  <c r="I64" i="7"/>
  <c r="I71" i="7" s="1"/>
  <c r="I18" i="7"/>
  <c r="J13" i="7"/>
  <c r="J14" i="7" s="1"/>
  <c r="X64" i="6"/>
  <c r="X71" i="6" s="1"/>
  <c r="X18" i="6"/>
  <c r="C74" i="6"/>
  <c r="AB64" i="6"/>
  <c r="AB71" i="6" s="1"/>
  <c r="AB18" i="6"/>
  <c r="AA13" i="6"/>
  <c r="AA14" i="6" s="1"/>
  <c r="F34" i="7"/>
  <c r="E35" i="7"/>
  <c r="I20" i="5"/>
  <c r="I30" i="5" s="1"/>
  <c r="H64" i="6"/>
  <c r="H71" i="6" s="1"/>
  <c r="H18" i="6"/>
  <c r="H13" i="5"/>
  <c r="AB13" i="6"/>
  <c r="D64" i="6"/>
  <c r="D18" i="6"/>
  <c r="M64" i="7"/>
  <c r="M71" i="7" s="1"/>
  <c r="M18" i="7"/>
  <c r="G14" i="7"/>
  <c r="G19" i="7" s="1"/>
  <c r="N14" i="5"/>
  <c r="N19" i="5" s="1"/>
  <c r="Y64" i="5"/>
  <c r="Y71" i="5" s="1"/>
  <c r="Y18" i="5"/>
  <c r="Q64" i="6"/>
  <c r="Q71" i="6" s="1"/>
  <c r="Q18" i="6"/>
  <c r="Q13" i="5"/>
  <c r="Q14" i="5" s="1"/>
  <c r="S64" i="5"/>
  <c r="S71" i="5" s="1"/>
  <c r="S18" i="5"/>
  <c r="G64" i="7"/>
  <c r="G71" i="7" s="1"/>
  <c r="G18" i="7"/>
  <c r="L14" i="6"/>
  <c r="L19" i="6" s="1"/>
  <c r="N64" i="5"/>
  <c r="N71" i="5" s="1"/>
  <c r="N18" i="5"/>
  <c r="U64" i="7"/>
  <c r="U71" i="7" s="1"/>
  <c r="U18" i="7"/>
  <c r="G64" i="6"/>
  <c r="G71" i="6" s="1"/>
  <c r="G18" i="6"/>
  <c r="Q64" i="5"/>
  <c r="Q71" i="5" s="1"/>
  <c r="Q18" i="5"/>
  <c r="J64" i="5"/>
  <c r="J71" i="5" s="1"/>
  <c r="J18" i="5"/>
  <c r="AA64" i="7"/>
  <c r="AA71" i="7" s="1"/>
  <c r="AA18" i="7"/>
  <c r="M13" i="5"/>
  <c r="D13" i="6"/>
  <c r="D14" i="6" s="1"/>
  <c r="J14" i="5"/>
  <c r="AA64" i="6"/>
  <c r="AA71" i="6" s="1"/>
  <c r="AA18" i="6"/>
  <c r="D64" i="7"/>
  <c r="D18" i="7"/>
  <c r="O13" i="7"/>
  <c r="S14" i="6"/>
  <c r="AB14" i="7"/>
  <c r="AB19" i="7" s="1"/>
  <c r="Y13" i="6"/>
  <c r="Y14" i="6" s="1"/>
  <c r="K14" i="5"/>
  <c r="K19" i="5" s="1"/>
  <c r="N13" i="6"/>
  <c r="F34" i="5"/>
  <c r="E35" i="5"/>
  <c r="N64" i="7"/>
  <c r="N71" i="7" s="1"/>
  <c r="N18" i="7"/>
  <c r="G13" i="6"/>
  <c r="D18" i="5"/>
  <c r="D64" i="5"/>
  <c r="I64" i="6"/>
  <c r="I71" i="6" s="1"/>
  <c r="I18" i="6"/>
  <c r="V64" i="5"/>
  <c r="V71" i="5" s="1"/>
  <c r="V18" i="5"/>
  <c r="M14" i="7"/>
  <c r="M19" i="7" s="1"/>
  <c r="H13" i="7"/>
  <c r="N64" i="6"/>
  <c r="N71" i="6" s="1"/>
  <c r="N18" i="6"/>
  <c r="Y14" i="5"/>
  <c r="Y19" i="5" s="1"/>
  <c r="L64" i="7"/>
  <c r="L71" i="7" s="1"/>
  <c r="L18" i="7"/>
  <c r="Q13" i="6"/>
  <c r="G13" i="5"/>
  <c r="P64" i="6"/>
  <c r="P71" i="6" s="1"/>
  <c r="P18" i="6"/>
  <c r="D14" i="7"/>
  <c r="D19" i="7" s="1"/>
  <c r="X64" i="5"/>
  <c r="X71" i="5" s="1"/>
  <c r="X18" i="5"/>
  <c r="T64" i="5"/>
  <c r="T71" i="5" s="1"/>
  <c r="T18" i="5"/>
  <c r="H64" i="7"/>
  <c r="H71" i="7" s="1"/>
  <c r="H18" i="7"/>
  <c r="K64" i="7"/>
  <c r="K71" i="7" s="1"/>
  <c r="K18" i="7"/>
  <c r="E64" i="7"/>
  <c r="E71" i="7" s="1"/>
  <c r="E18" i="7"/>
  <c r="X13" i="6"/>
  <c r="N14" i="7"/>
  <c r="N19" i="7" s="1"/>
  <c r="Z64" i="5"/>
  <c r="Z71" i="5" s="1"/>
  <c r="Z18" i="5"/>
  <c r="Z64" i="7"/>
  <c r="Z71" i="7" s="1"/>
  <c r="Z18" i="7"/>
  <c r="R64" i="5"/>
  <c r="R71" i="5" s="1"/>
  <c r="R18" i="5"/>
  <c r="L14" i="7"/>
  <c r="E64" i="5"/>
  <c r="E71" i="5" s="1"/>
  <c r="E18" i="5"/>
  <c r="D13" i="5"/>
  <c r="D14" i="5" s="1"/>
  <c r="J19" i="5"/>
  <c r="P64" i="7"/>
  <c r="P71" i="7" s="1"/>
  <c r="P18" i="7"/>
  <c r="P13" i="6"/>
  <c r="V14" i="5"/>
  <c r="V13" i="6"/>
  <c r="F64" i="7"/>
  <c r="F71" i="7" s="1"/>
  <c r="F18" i="7"/>
  <c r="C74" i="5"/>
  <c r="X64" i="7"/>
  <c r="X71" i="7" s="1"/>
  <c r="X18" i="7"/>
  <c r="P64" i="5"/>
  <c r="P71" i="5" s="1"/>
  <c r="P18" i="5"/>
  <c r="AB64" i="5"/>
  <c r="AB71" i="5" s="1"/>
  <c r="AB18" i="5"/>
  <c r="W64" i="6"/>
  <c r="W71" i="6" s="1"/>
  <c r="W18" i="6"/>
  <c r="U64" i="6"/>
  <c r="U71" i="6" s="1"/>
  <c r="U18" i="6"/>
  <c r="E64" i="6"/>
  <c r="E71" i="6" s="1"/>
  <c r="E18" i="6"/>
  <c r="L64" i="5"/>
  <c r="L71" i="5" s="1"/>
  <c r="L18" i="5"/>
  <c r="R18" i="6"/>
  <c r="R64" i="6"/>
  <c r="R71" i="6" s="1"/>
  <c r="T14" i="5"/>
  <c r="T13" i="5"/>
  <c r="J13" i="6"/>
  <c r="J14" i="6" s="1"/>
  <c r="K14" i="7"/>
  <c r="K19" i="7" s="1"/>
  <c r="T64" i="6"/>
  <c r="T71" i="6" s="1"/>
  <c r="T18" i="6"/>
  <c r="E14" i="7"/>
  <c r="E19" i="7" s="1"/>
  <c r="Y64" i="7"/>
  <c r="Y71" i="7" s="1"/>
  <c r="Y18" i="7"/>
  <c r="S64" i="7"/>
  <c r="S71" i="7" s="1"/>
  <c r="S18" i="7"/>
  <c r="Z14" i="5"/>
  <c r="Z19" i="5" s="1"/>
  <c r="R64" i="7"/>
  <c r="R71" i="7" s="1"/>
  <c r="R18" i="7"/>
  <c r="Z14" i="7"/>
  <c r="Z19" i="7" s="1"/>
  <c r="O64" i="7"/>
  <c r="O71" i="7" s="1"/>
  <c r="O18" i="7"/>
  <c r="F34" i="6"/>
  <c r="E35" i="6"/>
  <c r="P14" i="7"/>
  <c r="AA64" i="5"/>
  <c r="AA71" i="5" s="1"/>
  <c r="AA18" i="5"/>
  <c r="Q64" i="7"/>
  <c r="Q71" i="7" s="1"/>
  <c r="Q18" i="7"/>
  <c r="F13" i="7"/>
  <c r="O64" i="6"/>
  <c r="O71" i="6" s="1"/>
  <c r="O18" i="6"/>
  <c r="S19" i="6"/>
  <c r="G64" i="5"/>
  <c r="G71" i="5" s="1"/>
  <c r="G18" i="5"/>
  <c r="X14" i="7"/>
  <c r="X19" i="7" s="1"/>
  <c r="P13" i="5"/>
  <c r="AB13" i="5"/>
  <c r="W14" i="6"/>
  <c r="W19" i="6" s="1"/>
  <c r="M64" i="5"/>
  <c r="M71" i="5" s="1"/>
  <c r="M18" i="5"/>
  <c r="U14" i="6"/>
  <c r="U19" i="6" s="1"/>
  <c r="E14" i="6"/>
  <c r="E13" i="6"/>
  <c r="V14" i="7"/>
  <c r="V19" i="7" s="1"/>
  <c r="L14" i="5"/>
  <c r="L19" i="5" s="1"/>
  <c r="R13" i="6"/>
  <c r="W64" i="7"/>
  <c r="W71" i="7" s="1"/>
  <c r="W18" i="7"/>
  <c r="F64" i="6"/>
  <c r="F71" i="6" s="1"/>
  <c r="F18" i="6"/>
  <c r="T64" i="7"/>
  <c r="T71" i="7" s="1"/>
  <c r="T18" i="7"/>
  <c r="C74" i="7"/>
  <c r="T14" i="6"/>
  <c r="T19" i="6" s="1"/>
  <c r="Y14" i="7"/>
  <c r="Y19" i="7" s="1"/>
  <c r="W64" i="5"/>
  <c r="W71" i="5" s="1"/>
  <c r="W18" i="5"/>
  <c r="W20" i="5" s="1"/>
  <c r="W30" i="5" s="1"/>
  <c r="O13" i="5"/>
  <c r="O14" i="5" s="1"/>
  <c r="S14" i="7"/>
  <c r="R13" i="7"/>
  <c r="H14" i="6"/>
  <c r="H19" i="6" s="1"/>
  <c r="E14" i="5"/>
  <c r="E19" i="5" s="1"/>
  <c r="V19" i="5"/>
  <c r="I14" i="6"/>
  <c r="I19" i="6" s="1"/>
  <c r="P19" i="7"/>
  <c r="K64" i="6"/>
  <c r="K71" i="6" s="1"/>
  <c r="K18" i="6"/>
  <c r="V18" i="7"/>
  <c r="V64" i="7"/>
  <c r="V71" i="7" s="1"/>
  <c r="W19" i="5"/>
  <c r="M64" i="6"/>
  <c r="M71" i="6" s="1"/>
  <c r="M18" i="6"/>
  <c r="T13" i="7"/>
  <c r="L19" i="7"/>
  <c r="J64" i="7"/>
  <c r="J71" i="7" s="1"/>
  <c r="J18" i="7"/>
  <c r="K14" i="6"/>
  <c r="K19" i="6" s="1"/>
  <c r="O13" i="6"/>
  <c r="J64" i="6"/>
  <c r="J71" i="6" s="1"/>
  <c r="J18" i="6"/>
  <c r="S19" i="7"/>
  <c r="D37" i="7"/>
  <c r="D37" i="6"/>
  <c r="D37" i="5"/>
  <c r="C56" i="1"/>
  <c r="D15" i="4"/>
  <c r="D17" i="4" s="1"/>
  <c r="V64" i="6"/>
  <c r="V71" i="6" s="1"/>
  <c r="V18" i="6"/>
  <c r="M13" i="6"/>
  <c r="L64" i="6"/>
  <c r="L71" i="6" s="1"/>
  <c r="L18" i="6"/>
  <c r="AA14" i="5"/>
  <c r="AA19" i="5" s="1"/>
  <c r="X13" i="5"/>
  <c r="Q14" i="7"/>
  <c r="Q19" i="7" s="1"/>
  <c r="Z13" i="6"/>
  <c r="Z14" i="6" s="1"/>
  <c r="W13" i="7"/>
  <c r="W14" i="7" s="1"/>
  <c r="AA13" i="7"/>
  <c r="AA14" i="7" s="1"/>
  <c r="V20" i="7" l="1"/>
  <c r="V30" i="7" s="1"/>
  <c r="P20" i="7"/>
  <c r="P30" i="7" s="1"/>
  <c r="S20" i="7"/>
  <c r="S30" i="7" s="1"/>
  <c r="J20" i="5"/>
  <c r="J30" i="5" s="1"/>
  <c r="D44" i="7"/>
  <c r="D44" i="6"/>
  <c r="D44" i="5"/>
  <c r="C55" i="1"/>
  <c r="C7" i="3"/>
  <c r="D71" i="6"/>
  <c r="D31" i="1" s="1"/>
  <c r="D29" i="1"/>
  <c r="D20" i="5"/>
  <c r="Y19" i="6"/>
  <c r="G34" i="6"/>
  <c r="F35" i="6"/>
  <c r="E20" i="5"/>
  <c r="E30" i="5" s="1"/>
  <c r="AB14" i="6"/>
  <c r="AB19" i="6" s="1"/>
  <c r="AB20" i="6" s="1"/>
  <c r="AB30" i="6" s="1"/>
  <c r="T20" i="6"/>
  <c r="T30" i="6" s="1"/>
  <c r="U20" i="6"/>
  <c r="U30" i="6" s="1"/>
  <c r="N20" i="7"/>
  <c r="N30" i="7" s="1"/>
  <c r="N20" i="5"/>
  <c r="N30" i="5" s="1"/>
  <c r="Y20" i="5"/>
  <c r="Y30" i="5" s="1"/>
  <c r="F14" i="5"/>
  <c r="F19" i="5" s="1"/>
  <c r="F20" i="5" s="1"/>
  <c r="F30" i="5" s="1"/>
  <c r="S14" i="5"/>
  <c r="S19" i="5" s="1"/>
  <c r="S20" i="5" s="1"/>
  <c r="S30" i="5" s="1"/>
  <c r="D19" i="6"/>
  <c r="AA19" i="6"/>
  <c r="T14" i="7"/>
  <c r="T19" i="7" s="1"/>
  <c r="T20" i="7" s="1"/>
  <c r="T30" i="7" s="1"/>
  <c r="E20" i="7"/>
  <c r="E30" i="7" s="1"/>
  <c r="H14" i="7"/>
  <c r="H19" i="7" s="1"/>
  <c r="H20" i="7" s="1"/>
  <c r="H30" i="7" s="1"/>
  <c r="G14" i="6"/>
  <c r="G19" i="6" s="1"/>
  <c r="G20" i="6" s="1"/>
  <c r="G30" i="6" s="1"/>
  <c r="H14" i="5"/>
  <c r="H19" i="5" s="1"/>
  <c r="H20" i="5" s="1"/>
  <c r="H30" i="5" s="1"/>
  <c r="K20" i="5"/>
  <c r="K30" i="5" s="1"/>
  <c r="U33" i="5"/>
  <c r="D71" i="5"/>
  <c r="C31" i="1" s="1"/>
  <c r="C29" i="1"/>
  <c r="L20" i="6"/>
  <c r="L30" i="6" s="1"/>
  <c r="R14" i="7"/>
  <c r="R19" i="7" s="1"/>
  <c r="R20" i="7" s="1"/>
  <c r="R30" i="7" s="1"/>
  <c r="AA20" i="7"/>
  <c r="AA30" i="7" s="1"/>
  <c r="M14" i="5"/>
  <c r="M19" i="5" s="1"/>
  <c r="M20" i="5" s="1"/>
  <c r="M30" i="5" s="1"/>
  <c r="F19" i="7"/>
  <c r="F20" i="7" s="1"/>
  <c r="F30" i="7" s="1"/>
  <c r="J19" i="6"/>
  <c r="J20" i="6" s="1"/>
  <c r="J30" i="6" s="1"/>
  <c r="W20" i="6"/>
  <c r="W30" i="6" s="1"/>
  <c r="M14" i="6"/>
  <c r="M19" i="6" s="1"/>
  <c r="M20" i="6" s="1"/>
  <c r="M30" i="6" s="1"/>
  <c r="O19" i="5"/>
  <c r="O20" i="5" s="1"/>
  <c r="O30" i="5" s="1"/>
  <c r="AB14" i="5"/>
  <c r="AB19" i="5" s="1"/>
  <c r="AB20" i="5" s="1"/>
  <c r="AB30" i="5" s="1"/>
  <c r="F14" i="7"/>
  <c r="T19" i="5"/>
  <c r="K20" i="7"/>
  <c r="K30" i="7" s="1"/>
  <c r="G14" i="5"/>
  <c r="G19" i="5" s="1"/>
  <c r="G20" i="5" s="1"/>
  <c r="G30" i="5" s="1"/>
  <c r="V20" i="5"/>
  <c r="V30" i="5" s="1"/>
  <c r="D20" i="7"/>
  <c r="G20" i="7"/>
  <c r="G30" i="7" s="1"/>
  <c r="X14" i="6"/>
  <c r="X19" i="6" s="1"/>
  <c r="X20" i="6" s="1"/>
  <c r="X30" i="6" s="1"/>
  <c r="H20" i="6"/>
  <c r="H30" i="6" s="1"/>
  <c r="Y20" i="6"/>
  <c r="Y30" i="6" s="1"/>
  <c r="Z20" i="5"/>
  <c r="Z30" i="5" s="1"/>
  <c r="G34" i="5"/>
  <c r="F35" i="5"/>
  <c r="D71" i="7"/>
  <c r="E31" i="1" s="1"/>
  <c r="E29" i="1"/>
  <c r="J33" i="5"/>
  <c r="D19" i="5"/>
  <c r="V33" i="7"/>
  <c r="W33" i="5"/>
  <c r="Q20" i="7"/>
  <c r="Q30" i="7" s="1"/>
  <c r="AA19" i="7"/>
  <c r="O14" i="6"/>
  <c r="O19" i="6" s="1"/>
  <c r="O20" i="6" s="1"/>
  <c r="O30" i="6" s="1"/>
  <c r="K20" i="6"/>
  <c r="K30" i="6" s="1"/>
  <c r="R14" i="6"/>
  <c r="R19" i="6" s="1"/>
  <c r="R20" i="6" s="1"/>
  <c r="R30" i="6" s="1"/>
  <c r="P14" i="5"/>
  <c r="P19" i="5" s="1"/>
  <c r="P20" i="5" s="1"/>
  <c r="P30" i="5" s="1"/>
  <c r="X14" i="5"/>
  <c r="X19" i="5" s="1"/>
  <c r="X20" i="5" s="1"/>
  <c r="X30" i="5" s="1"/>
  <c r="P14" i="6"/>
  <c r="P19" i="6" s="1"/>
  <c r="P20" i="6" s="1"/>
  <c r="P30" i="6" s="1"/>
  <c r="Q14" i="6"/>
  <c r="Q19" i="6" s="1"/>
  <c r="Q20" i="6" s="1"/>
  <c r="Q30" i="6" s="1"/>
  <c r="AA20" i="6"/>
  <c r="AA30" i="6" s="1"/>
  <c r="V14" i="6"/>
  <c r="V19" i="6" s="1"/>
  <c r="V20" i="6" s="1"/>
  <c r="V30" i="6" s="1"/>
  <c r="M20" i="7"/>
  <c r="M30" i="7" s="1"/>
  <c r="I33" i="5"/>
  <c r="J19" i="7"/>
  <c r="J20" i="7" s="1"/>
  <c r="J30" i="7" s="1"/>
  <c r="AB20" i="7"/>
  <c r="AB30" i="7" s="1"/>
  <c r="U14" i="7"/>
  <c r="U19" i="7" s="1"/>
  <c r="U20" i="7" s="1"/>
  <c r="U30" i="7" s="1"/>
  <c r="C57" i="1"/>
  <c r="D16" i="4"/>
  <c r="E12" i="4" s="1"/>
  <c r="L20" i="7"/>
  <c r="L30" i="7" s="1"/>
  <c r="I20" i="6"/>
  <c r="I30" i="6" s="1"/>
  <c r="N19" i="6"/>
  <c r="N20" i="6" s="1"/>
  <c r="N30" i="6" s="1"/>
  <c r="Q20" i="5"/>
  <c r="Q30" i="5" s="1"/>
  <c r="W19" i="7"/>
  <c r="W20" i="7" s="1"/>
  <c r="W30" i="7" s="1"/>
  <c r="S33" i="7"/>
  <c r="P33" i="7"/>
  <c r="Z19" i="6"/>
  <c r="Z20" i="6" s="1"/>
  <c r="Z30" i="6" s="1"/>
  <c r="Z20" i="7"/>
  <c r="Z30" i="7" s="1"/>
  <c r="T20" i="5"/>
  <c r="T30" i="5" s="1"/>
  <c r="N14" i="6"/>
  <c r="O14" i="7"/>
  <c r="O19" i="7" s="1"/>
  <c r="O20" i="7" s="1"/>
  <c r="O30" i="7" s="1"/>
  <c r="G34" i="7"/>
  <c r="F35" i="7"/>
  <c r="I20" i="7"/>
  <c r="I30" i="7" s="1"/>
  <c r="S20" i="6"/>
  <c r="S30" i="6" s="1"/>
  <c r="R14" i="5"/>
  <c r="R19" i="5" s="1"/>
  <c r="R20" i="5" s="1"/>
  <c r="R30" i="5" s="1"/>
  <c r="AA20" i="5"/>
  <c r="AA30" i="5" s="1"/>
  <c r="E19" i="6"/>
  <c r="E20" i="6" s="1"/>
  <c r="E30" i="6" s="1"/>
  <c r="Y20" i="7"/>
  <c r="Y30" i="7" s="1"/>
  <c r="L20" i="5"/>
  <c r="L30" i="5" s="1"/>
  <c r="X20" i="7"/>
  <c r="X30" i="7" s="1"/>
  <c r="Q19" i="5"/>
  <c r="D20" i="6"/>
  <c r="F19" i="6"/>
  <c r="F20" i="6" s="1"/>
  <c r="F30" i="6" s="1"/>
  <c r="M33" i="6" l="1"/>
  <c r="O33" i="5"/>
  <c r="AB33" i="5"/>
  <c r="H33" i="5"/>
  <c r="U33" i="7"/>
  <c r="E33" i="6"/>
  <c r="E36" i="6" s="1"/>
  <c r="E69" i="6" s="1"/>
  <c r="E73" i="6" s="1"/>
  <c r="J33" i="7"/>
  <c r="W33" i="7"/>
  <c r="H33" i="7"/>
  <c r="Q33" i="6"/>
  <c r="R33" i="5"/>
  <c r="F33" i="7"/>
  <c r="F36" i="7" s="1"/>
  <c r="F69" i="7" s="1"/>
  <c r="F73" i="7" s="1"/>
  <c r="R33" i="6"/>
  <c r="O33" i="6"/>
  <c r="J33" i="6"/>
  <c r="N33" i="6"/>
  <c r="S33" i="5"/>
  <c r="Z33" i="6"/>
  <c r="X33" i="6"/>
  <c r="P33" i="6"/>
  <c r="AB33" i="6"/>
  <c r="O33" i="7"/>
  <c r="V33" i="6"/>
  <c r="T33" i="7"/>
  <c r="M33" i="5"/>
  <c r="F33" i="5"/>
  <c r="F36" i="5" s="1"/>
  <c r="X33" i="5"/>
  <c r="P33" i="5"/>
  <c r="R33" i="7"/>
  <c r="G33" i="6"/>
  <c r="G36" i="6" s="1"/>
  <c r="G69" i="6" s="1"/>
  <c r="G73" i="6" s="1"/>
  <c r="L33" i="7"/>
  <c r="L33" i="5"/>
  <c r="T33" i="5"/>
  <c r="Y33" i="6"/>
  <c r="N33" i="7"/>
  <c r="W33" i="6"/>
  <c r="E33" i="5"/>
  <c r="E36" i="5" s="1"/>
  <c r="Z33" i="7"/>
  <c r="F33" i="6"/>
  <c r="F36" i="6" s="1"/>
  <c r="F69" i="6" s="1"/>
  <c r="F73" i="6" s="1"/>
  <c r="G33" i="7"/>
  <c r="H34" i="5"/>
  <c r="G35" i="5"/>
  <c r="S33" i="6"/>
  <c r="K33" i="6"/>
  <c r="D30" i="7"/>
  <c r="E17" i="1"/>
  <c r="U33" i="6"/>
  <c r="H34" i="6"/>
  <c r="G35" i="6"/>
  <c r="AA33" i="5"/>
  <c r="I33" i="7"/>
  <c r="V33" i="5"/>
  <c r="D51" i="7"/>
  <c r="D51" i="6"/>
  <c r="D51" i="5"/>
  <c r="C59" i="1"/>
  <c r="D39" i="6"/>
  <c r="D39" i="5"/>
  <c r="D39" i="7"/>
  <c r="C8" i="3"/>
  <c r="E33" i="7"/>
  <c r="E36" i="7" s="1"/>
  <c r="E69" i="7" s="1"/>
  <c r="E73" i="7" s="1"/>
  <c r="M33" i="7"/>
  <c r="T33" i="6"/>
  <c r="Y33" i="7"/>
  <c r="AA33" i="7"/>
  <c r="G33" i="5"/>
  <c r="G36" i="5" s="1"/>
  <c r="D30" i="6"/>
  <c r="D17" i="1"/>
  <c r="I33" i="6"/>
  <c r="K33" i="7"/>
  <c r="K33" i="5"/>
  <c r="AB33" i="7"/>
  <c r="D49" i="5"/>
  <c r="D30" i="5"/>
  <c r="C17" i="1"/>
  <c r="H34" i="7"/>
  <c r="G35" i="7"/>
  <c r="G36" i="7" s="1"/>
  <c r="G69" i="7" s="1"/>
  <c r="G73" i="7" s="1"/>
  <c r="Q33" i="7"/>
  <c r="E14" i="4"/>
  <c r="L33" i="6"/>
  <c r="Y33" i="5"/>
  <c r="D49" i="6"/>
  <c r="H33" i="6"/>
  <c r="Q33" i="5"/>
  <c r="AA33" i="6"/>
  <c r="X33" i="7"/>
  <c r="Z33" i="5"/>
  <c r="N33" i="5"/>
  <c r="D49" i="7"/>
  <c r="G69" i="5" l="1"/>
  <c r="G73" i="5" s="1"/>
  <c r="G7" i="4"/>
  <c r="G8" i="4" s="1"/>
  <c r="G9" i="4" s="1"/>
  <c r="F69" i="5"/>
  <c r="F73" i="5" s="1"/>
  <c r="F7" i="4"/>
  <c r="F8" i="4" s="1"/>
  <c r="F9" i="4" s="1"/>
  <c r="E69" i="5"/>
  <c r="E73" i="5" s="1"/>
  <c r="E7" i="4"/>
  <c r="E8" i="4" s="1"/>
  <c r="E9" i="4" s="1"/>
  <c r="D40" i="5"/>
  <c r="D41" i="5"/>
  <c r="C25" i="1" s="1"/>
  <c r="I34" i="5"/>
  <c r="H35" i="5"/>
  <c r="H36" i="5" s="1"/>
  <c r="E37" i="7"/>
  <c r="E38" i="7" s="1"/>
  <c r="E37" i="6"/>
  <c r="E38" i="6" s="1"/>
  <c r="E37" i="5"/>
  <c r="E38" i="5" s="1"/>
  <c r="E15" i="4"/>
  <c r="E16" i="4" s="1"/>
  <c r="F12" i="4" s="1"/>
  <c r="D40" i="6"/>
  <c r="D41" i="6" s="1"/>
  <c r="D25" i="1" s="1"/>
  <c r="D38" i="7"/>
  <c r="D33" i="7"/>
  <c r="D36" i="7" s="1"/>
  <c r="D69" i="7" s="1"/>
  <c r="D38" i="6"/>
  <c r="D42" i="6" s="1"/>
  <c r="D36" i="6"/>
  <c r="D33" i="6"/>
  <c r="D33" i="5"/>
  <c r="D38" i="5"/>
  <c r="D42" i="5" s="1"/>
  <c r="D36" i="5"/>
  <c r="C15" i="3"/>
  <c r="C10" i="1"/>
  <c r="C18" i="3"/>
  <c r="C12" i="1" s="1"/>
  <c r="D40" i="7"/>
  <c r="D41" i="7" s="1"/>
  <c r="I34" i="7"/>
  <c r="H35" i="7"/>
  <c r="H36" i="7" s="1"/>
  <c r="H69" i="7" s="1"/>
  <c r="H73" i="7" s="1"/>
  <c r="I34" i="6"/>
  <c r="H35" i="6"/>
  <c r="H36" i="6" s="1"/>
  <c r="H69" i="6" s="1"/>
  <c r="H73" i="6" s="1"/>
  <c r="D50" i="6" l="1"/>
  <c r="D18" i="1"/>
  <c r="D67" i="6"/>
  <c r="D66" i="6"/>
  <c r="D45" i="6"/>
  <c r="D50" i="5"/>
  <c r="C18" i="1"/>
  <c r="D67" i="5"/>
  <c r="D45" i="5"/>
  <c r="D66" i="5"/>
  <c r="E25" i="1"/>
  <c r="D42" i="7"/>
  <c r="E17" i="4"/>
  <c r="D69" i="6"/>
  <c r="D42" i="1"/>
  <c r="C63" i="7"/>
  <c r="C63" i="6"/>
  <c r="C63" i="5"/>
  <c r="C11" i="1"/>
  <c r="C19" i="3"/>
  <c r="C16" i="3"/>
  <c r="C20" i="3" s="1"/>
  <c r="C46" i="1" s="1"/>
  <c r="C8" i="8"/>
  <c r="D69" i="5"/>
  <c r="C42" i="1"/>
  <c r="D7" i="4"/>
  <c r="D8" i="4" s="1"/>
  <c r="C9" i="8"/>
  <c r="C11" i="8" s="1"/>
  <c r="C12" i="8" s="1"/>
  <c r="J34" i="7"/>
  <c r="I35" i="7"/>
  <c r="I36" i="7" s="1"/>
  <c r="I69" i="7" s="1"/>
  <c r="I73" i="7" s="1"/>
  <c r="H69" i="5"/>
  <c r="H73" i="5" s="1"/>
  <c r="H7" i="4"/>
  <c r="H8" i="4" s="1"/>
  <c r="H9" i="4" s="1"/>
  <c r="J34" i="6"/>
  <c r="I35" i="6"/>
  <c r="I36" i="6" s="1"/>
  <c r="I69" i="6" s="1"/>
  <c r="I73" i="6" s="1"/>
  <c r="J34" i="5"/>
  <c r="I35" i="5"/>
  <c r="I36" i="5" s="1"/>
  <c r="D73" i="7"/>
  <c r="F14" i="4"/>
  <c r="C65" i="5" l="1"/>
  <c r="C72" i="5"/>
  <c r="I69" i="5"/>
  <c r="I73" i="5" s="1"/>
  <c r="I7" i="4"/>
  <c r="I8" i="4" s="1"/>
  <c r="I9" i="4" s="1"/>
  <c r="K34" i="6"/>
  <c r="J35" i="6"/>
  <c r="J36" i="6" s="1"/>
  <c r="D19" i="1"/>
  <c r="C65" i="7"/>
  <c r="C72" i="7"/>
  <c r="D73" i="5"/>
  <c r="D73" i="6"/>
  <c r="C72" i="6"/>
  <c r="C65" i="6"/>
  <c r="D52" i="5"/>
  <c r="E44" i="7"/>
  <c r="E44" i="6"/>
  <c r="E44" i="5"/>
  <c r="D50" i="7"/>
  <c r="E18" i="1"/>
  <c r="D45" i="7"/>
  <c r="D67" i="7"/>
  <c r="D66" i="7"/>
  <c r="D9" i="4"/>
  <c r="F37" i="7"/>
  <c r="F38" i="7" s="1"/>
  <c r="F37" i="5"/>
  <c r="F38" i="5" s="1"/>
  <c r="F37" i="6"/>
  <c r="F38" i="6" s="1"/>
  <c r="F15" i="4"/>
  <c r="F16" i="4" s="1"/>
  <c r="G12" i="4" s="1"/>
  <c r="D52" i="6"/>
  <c r="D74" i="7"/>
  <c r="K34" i="5"/>
  <c r="J35" i="5"/>
  <c r="J36" i="5" s="1"/>
  <c r="K34" i="7"/>
  <c r="J35" i="7"/>
  <c r="J36" i="7" s="1"/>
  <c r="J69" i="7" s="1"/>
  <c r="J73" i="7" s="1"/>
  <c r="C19" i="1"/>
  <c r="F17" i="4" l="1"/>
  <c r="J69" i="5"/>
  <c r="J7" i="4"/>
  <c r="J8" i="4" s="1"/>
  <c r="F44" i="7"/>
  <c r="F44" i="6"/>
  <c r="F44" i="5"/>
  <c r="D52" i="7"/>
  <c r="D75" i="7"/>
  <c r="E74" i="7"/>
  <c r="D55" i="5"/>
  <c r="D56" i="5" s="1"/>
  <c r="D74" i="5"/>
  <c r="D55" i="6"/>
  <c r="D56" i="6" s="1"/>
  <c r="D55" i="7"/>
  <c r="E19" i="1"/>
  <c r="D53" i="5"/>
  <c r="D74" i="6"/>
  <c r="D53" i="6"/>
  <c r="L34" i="6"/>
  <c r="K35" i="6"/>
  <c r="K36" i="6" s="1"/>
  <c r="K69" i="6" s="1"/>
  <c r="K73" i="6" s="1"/>
  <c r="L34" i="5"/>
  <c r="K35" i="5"/>
  <c r="K36" i="5" s="1"/>
  <c r="L34" i="7"/>
  <c r="K35" i="7"/>
  <c r="K36" i="7" s="1"/>
  <c r="K69" i="7" s="1"/>
  <c r="K73" i="7" s="1"/>
  <c r="G14" i="4"/>
  <c r="J69" i="6"/>
  <c r="D57" i="5" l="1"/>
  <c r="D57" i="6"/>
  <c r="D58" i="6" s="1"/>
  <c r="E51" i="6" s="1"/>
  <c r="D56" i="7"/>
  <c r="M34" i="5"/>
  <c r="L35" i="5"/>
  <c r="L36" i="5" s="1"/>
  <c r="D59" i="6"/>
  <c r="D60" i="6" s="1"/>
  <c r="D63" i="6" s="1"/>
  <c r="D75" i="6"/>
  <c r="E74" i="6"/>
  <c r="D75" i="5"/>
  <c r="E74" i="5"/>
  <c r="E75" i="7"/>
  <c r="F74" i="7"/>
  <c r="G37" i="7"/>
  <c r="G38" i="7" s="1"/>
  <c r="G37" i="6"/>
  <c r="G38" i="6" s="1"/>
  <c r="G37" i="5"/>
  <c r="G38" i="5" s="1"/>
  <c r="G15" i="4"/>
  <c r="G16" i="4" s="1"/>
  <c r="H12" i="4" s="1"/>
  <c r="C15" i="8"/>
  <c r="D60" i="5"/>
  <c r="D63" i="5" s="1"/>
  <c r="E47" i="5"/>
  <c r="D54" i="5"/>
  <c r="D57" i="7"/>
  <c r="D59" i="7" s="1"/>
  <c r="D58" i="7"/>
  <c r="D53" i="7"/>
  <c r="D59" i="5"/>
  <c r="E55" i="5"/>
  <c r="M34" i="7"/>
  <c r="L35" i="7"/>
  <c r="L36" i="7" s="1"/>
  <c r="L69" i="7" s="1"/>
  <c r="L73" i="7" s="1"/>
  <c r="M34" i="6"/>
  <c r="L35" i="6"/>
  <c r="L36" i="6" s="1"/>
  <c r="E55" i="6"/>
  <c r="E55" i="7"/>
  <c r="K69" i="5"/>
  <c r="K73" i="5" s="1"/>
  <c r="K7" i="4"/>
  <c r="K8" i="4" s="1"/>
  <c r="K9" i="4" s="1"/>
  <c r="D58" i="5"/>
  <c r="J9" i="4"/>
  <c r="J73" i="6"/>
  <c r="E47" i="6"/>
  <c r="D54" i="6"/>
  <c r="J73" i="5"/>
  <c r="D68" i="5" l="1"/>
  <c r="E75" i="5"/>
  <c r="F74" i="5"/>
  <c r="F75" i="7"/>
  <c r="G74" i="7"/>
  <c r="E48" i="5"/>
  <c r="E49" i="5"/>
  <c r="D65" i="5"/>
  <c r="D72" i="5"/>
  <c r="E75" i="6"/>
  <c r="F74" i="6"/>
  <c r="H14" i="4"/>
  <c r="E51" i="5"/>
  <c r="D61" i="5"/>
  <c r="E46" i="5" s="1"/>
  <c r="G17" i="4"/>
  <c r="D61" i="6"/>
  <c r="L69" i="6"/>
  <c r="D60" i="7"/>
  <c r="D63" i="7" s="1"/>
  <c r="E47" i="7"/>
  <c r="D54" i="7"/>
  <c r="L69" i="5"/>
  <c r="L7" i="4"/>
  <c r="L8" i="4" s="1"/>
  <c r="L9" i="4" s="1"/>
  <c r="D72" i="6"/>
  <c r="D65" i="6"/>
  <c r="N34" i="6"/>
  <c r="M35" i="6"/>
  <c r="M36" i="6" s="1"/>
  <c r="M69" i="6" s="1"/>
  <c r="M73" i="6" s="1"/>
  <c r="E51" i="7"/>
  <c r="D68" i="6"/>
  <c r="E48" i="6"/>
  <c r="E49" i="6" s="1"/>
  <c r="N34" i="5"/>
  <c r="M35" i="5"/>
  <c r="M36" i="5" s="1"/>
  <c r="N34" i="7"/>
  <c r="M35" i="7"/>
  <c r="M36" i="7" s="1"/>
  <c r="M69" i="7" s="1"/>
  <c r="M73" i="7" s="1"/>
  <c r="D65" i="7" l="1"/>
  <c r="D72" i="7"/>
  <c r="F75" i="5"/>
  <c r="G74" i="5"/>
  <c r="H37" i="7"/>
  <c r="H38" i="7" s="1"/>
  <c r="H37" i="6"/>
  <c r="H38" i="6" s="1"/>
  <c r="H37" i="5"/>
  <c r="H38" i="5" s="1"/>
  <c r="H15" i="4"/>
  <c r="H16" i="4" s="1"/>
  <c r="I12" i="4" s="1"/>
  <c r="O34" i="6"/>
  <c r="N35" i="6"/>
  <c r="N36" i="6" s="1"/>
  <c r="N69" i="6" s="1"/>
  <c r="N73" i="6" s="1"/>
  <c r="F75" i="6"/>
  <c r="G74" i="6"/>
  <c r="O34" i="7"/>
  <c r="N35" i="7"/>
  <c r="N36" i="7" s="1"/>
  <c r="N69" i="7" s="1"/>
  <c r="N73" i="7" s="1"/>
  <c r="M69" i="5"/>
  <c r="M73" i="5" s="1"/>
  <c r="M7" i="4"/>
  <c r="M8" i="4" s="1"/>
  <c r="M9" i="4" s="1"/>
  <c r="G75" i="7"/>
  <c r="H74" i="7"/>
  <c r="O34" i="5"/>
  <c r="N35" i="5"/>
  <c r="N36" i="5" s="1"/>
  <c r="L73" i="6"/>
  <c r="D68" i="7"/>
  <c r="E46" i="6"/>
  <c r="E39" i="6"/>
  <c r="G44" i="7"/>
  <c r="G44" i="6"/>
  <c r="G44" i="5"/>
  <c r="E48" i="7"/>
  <c r="E49" i="7"/>
  <c r="D61" i="7"/>
  <c r="L73" i="5"/>
  <c r="E39" i="5"/>
  <c r="E40" i="6" l="1"/>
  <c r="E41" i="6"/>
  <c r="E42" i="6" s="1"/>
  <c r="G75" i="6"/>
  <c r="H74" i="6"/>
  <c r="F55" i="7"/>
  <c r="H75" i="7"/>
  <c r="I74" i="7"/>
  <c r="P34" i="6"/>
  <c r="O35" i="6"/>
  <c r="O36" i="6" s="1"/>
  <c r="O69" i="6" s="1"/>
  <c r="O73" i="6" s="1"/>
  <c r="I14" i="4"/>
  <c r="H17" i="4"/>
  <c r="F55" i="6"/>
  <c r="P34" i="5"/>
  <c r="O35" i="5"/>
  <c r="O36" i="5" s="1"/>
  <c r="E46" i="7"/>
  <c r="E39" i="7"/>
  <c r="F55" i="5"/>
  <c r="N69" i="5"/>
  <c r="N7" i="4"/>
  <c r="N8" i="4" s="1"/>
  <c r="E40" i="5"/>
  <c r="E41" i="5"/>
  <c r="E42" i="5" s="1"/>
  <c r="P34" i="7"/>
  <c r="O35" i="7"/>
  <c r="O36" i="7" s="1"/>
  <c r="O69" i="7" s="1"/>
  <c r="O73" i="7" s="1"/>
  <c r="G75" i="5"/>
  <c r="H74" i="5"/>
  <c r="H75" i="5" l="1"/>
  <c r="I74" i="5"/>
  <c r="O69" i="5"/>
  <c r="O73" i="5" s="1"/>
  <c r="O7" i="4"/>
  <c r="O8" i="4" s="1"/>
  <c r="O9" i="4" s="1"/>
  <c r="H75" i="6"/>
  <c r="I74" i="6"/>
  <c r="Q34" i="7"/>
  <c r="P35" i="7"/>
  <c r="P36" i="7" s="1"/>
  <c r="P69" i="7" s="1"/>
  <c r="P73" i="7" s="1"/>
  <c r="Q34" i="5"/>
  <c r="P35" i="5"/>
  <c r="P36" i="5" s="1"/>
  <c r="H44" i="7"/>
  <c r="H44" i="6"/>
  <c r="H44" i="5"/>
  <c r="E50" i="5"/>
  <c r="E67" i="5"/>
  <c r="E66" i="5"/>
  <c r="E45" i="5"/>
  <c r="E50" i="6"/>
  <c r="E67" i="6"/>
  <c r="E45" i="6"/>
  <c r="E66" i="6"/>
  <c r="E40" i="7"/>
  <c r="E41" i="7" s="1"/>
  <c r="E42" i="7" s="1"/>
  <c r="I37" i="7"/>
  <c r="I38" i="7" s="1"/>
  <c r="I37" i="6"/>
  <c r="I38" i="6" s="1"/>
  <c r="I37" i="5"/>
  <c r="I38" i="5" s="1"/>
  <c r="I15" i="4"/>
  <c r="I16" i="4" s="1"/>
  <c r="J12" i="4" s="1"/>
  <c r="I75" i="7"/>
  <c r="J74" i="7"/>
  <c r="Q34" i="6"/>
  <c r="P35" i="6"/>
  <c r="P36" i="6" s="1"/>
  <c r="P69" i="6" s="1"/>
  <c r="P73" i="6" s="1"/>
  <c r="N73" i="5"/>
  <c r="N9" i="4"/>
  <c r="E50" i="7" l="1"/>
  <c r="E67" i="7"/>
  <c r="E66" i="7"/>
  <c r="E45" i="7"/>
  <c r="E52" i="6"/>
  <c r="E56" i="6" s="1"/>
  <c r="P69" i="5"/>
  <c r="P73" i="5" s="1"/>
  <c r="P7" i="4"/>
  <c r="P8" i="4" s="1"/>
  <c r="P9" i="4" s="1"/>
  <c r="R34" i="7"/>
  <c r="Q35" i="7"/>
  <c r="Q36" i="7" s="1"/>
  <c r="Q69" i="7" s="1"/>
  <c r="Q73" i="7" s="1"/>
  <c r="R34" i="5"/>
  <c r="Q35" i="5"/>
  <c r="Q36" i="5" s="1"/>
  <c r="E52" i="5"/>
  <c r="E53" i="5" s="1"/>
  <c r="I75" i="6"/>
  <c r="J74" i="6"/>
  <c r="J14" i="4"/>
  <c r="G55" i="5"/>
  <c r="G55" i="6"/>
  <c r="I75" i="5"/>
  <c r="J74" i="5"/>
  <c r="I17" i="4"/>
  <c r="R34" i="6"/>
  <c r="Q35" i="6"/>
  <c r="Q36" i="6" s="1"/>
  <c r="Q69" i="6" s="1"/>
  <c r="Q73" i="6" s="1"/>
  <c r="J75" i="7"/>
  <c r="K74" i="7"/>
  <c r="G55" i="7"/>
  <c r="E53" i="6" l="1"/>
  <c r="J37" i="7"/>
  <c r="J38" i="7" s="1"/>
  <c r="J37" i="6"/>
  <c r="J38" i="6" s="1"/>
  <c r="J37" i="5"/>
  <c r="J38" i="5" s="1"/>
  <c r="J15" i="4"/>
  <c r="J16" i="4" s="1"/>
  <c r="K12" i="4" s="1"/>
  <c r="J75" i="6"/>
  <c r="K74" i="6"/>
  <c r="E57" i="5"/>
  <c r="E56" i="5"/>
  <c r="E59" i="5" s="1"/>
  <c r="E60" i="5" s="1"/>
  <c r="E63" i="5" s="1"/>
  <c r="E57" i="6"/>
  <c r="E59" i="6" s="1"/>
  <c r="E60" i="6" s="1"/>
  <c r="E63" i="6" s="1"/>
  <c r="E58" i="6"/>
  <c r="F47" i="5"/>
  <c r="E54" i="5"/>
  <c r="F47" i="6"/>
  <c r="E54" i="6"/>
  <c r="J75" i="5"/>
  <c r="K74" i="5"/>
  <c r="Q69" i="5"/>
  <c r="Q73" i="5" s="1"/>
  <c r="Q7" i="4"/>
  <c r="Q8" i="4" s="1"/>
  <c r="Q9" i="4" s="1"/>
  <c r="S34" i="6"/>
  <c r="R35" i="6"/>
  <c r="R36" i="6" s="1"/>
  <c r="S34" i="5"/>
  <c r="R35" i="5"/>
  <c r="R36" i="5" s="1"/>
  <c r="K75" i="7"/>
  <c r="L74" i="7"/>
  <c r="I44" i="7"/>
  <c r="I44" i="6"/>
  <c r="I44" i="5"/>
  <c r="S34" i="7"/>
  <c r="R35" i="7"/>
  <c r="R36" i="7" s="1"/>
  <c r="R69" i="7" s="1"/>
  <c r="R73" i="7" s="1"/>
  <c r="E52" i="7"/>
  <c r="E53" i="7" s="1"/>
  <c r="F47" i="7" l="1"/>
  <c r="E54" i="7"/>
  <c r="E65" i="5"/>
  <c r="E72" i="5"/>
  <c r="E57" i="7"/>
  <c r="E56" i="7"/>
  <c r="E59" i="7" s="1"/>
  <c r="E72" i="6"/>
  <c r="E65" i="6"/>
  <c r="K75" i="6"/>
  <c r="L74" i="6"/>
  <c r="E68" i="6"/>
  <c r="T34" i="7"/>
  <c r="S35" i="7"/>
  <c r="S36" i="7" s="1"/>
  <c r="S69" i="7" s="1"/>
  <c r="S73" i="7" s="1"/>
  <c r="F48" i="6"/>
  <c r="F49" i="6"/>
  <c r="K75" i="5"/>
  <c r="L74" i="5"/>
  <c r="E58" i="5"/>
  <c r="E68" i="5"/>
  <c r="K14" i="4"/>
  <c r="R69" i="5"/>
  <c r="R73" i="5" s="1"/>
  <c r="R7" i="4"/>
  <c r="R8" i="4" s="1"/>
  <c r="R9" i="4" s="1"/>
  <c r="C19" i="4" s="1"/>
  <c r="C21" i="4" s="1"/>
  <c r="C43" i="1"/>
  <c r="C13" i="1"/>
  <c r="H55" i="6"/>
  <c r="F48" i="5"/>
  <c r="F49" i="5" s="1"/>
  <c r="J17" i="4"/>
  <c r="R69" i="6"/>
  <c r="R73" i="6" s="1"/>
  <c r="D43" i="1"/>
  <c r="C14" i="1"/>
  <c r="H55" i="5"/>
  <c r="T34" i="6"/>
  <c r="S35" i="6"/>
  <c r="S36" i="6" s="1"/>
  <c r="S69" i="6" s="1"/>
  <c r="S73" i="6" s="1"/>
  <c r="H55" i="7"/>
  <c r="F51" i="6"/>
  <c r="E61" i="5"/>
  <c r="F46" i="5" s="1"/>
  <c r="T34" i="5"/>
  <c r="S35" i="5"/>
  <c r="S36" i="5" s="1"/>
  <c r="L75" i="7"/>
  <c r="M74" i="7"/>
  <c r="E61" i="6"/>
  <c r="F46" i="6" s="1"/>
  <c r="L75" i="5" l="1"/>
  <c r="M74" i="5"/>
  <c r="E58" i="7"/>
  <c r="U34" i="5"/>
  <c r="T35" i="5"/>
  <c r="T36" i="5" s="1"/>
  <c r="J44" i="7"/>
  <c r="J44" i="6"/>
  <c r="J44" i="5"/>
  <c r="U34" i="7"/>
  <c r="T35" i="7"/>
  <c r="T36" i="7" s="1"/>
  <c r="T69" i="7" s="1"/>
  <c r="T73" i="7" s="1"/>
  <c r="K37" i="7"/>
  <c r="K38" i="7" s="1"/>
  <c r="K37" i="6"/>
  <c r="K38" i="6" s="1"/>
  <c r="K37" i="5"/>
  <c r="K38" i="5" s="1"/>
  <c r="K15" i="4"/>
  <c r="K16" i="4" s="1"/>
  <c r="L12" i="4" s="1"/>
  <c r="U34" i="6"/>
  <c r="T35" i="6"/>
  <c r="T36" i="6" s="1"/>
  <c r="T69" i="6" s="1"/>
  <c r="T73" i="6" s="1"/>
  <c r="S69" i="5"/>
  <c r="S73" i="5" s="1"/>
  <c r="S7" i="4"/>
  <c r="S8" i="4" s="1"/>
  <c r="F39" i="6"/>
  <c r="L75" i="6"/>
  <c r="M74" i="6"/>
  <c r="E68" i="7"/>
  <c r="F48" i="7"/>
  <c r="F49" i="7" s="1"/>
  <c r="M75" i="7"/>
  <c r="N74" i="7"/>
  <c r="F51" i="5"/>
  <c r="F39" i="5"/>
  <c r="E60" i="7"/>
  <c r="E63" i="7" s="1"/>
  <c r="F40" i="5" l="1"/>
  <c r="F41" i="5"/>
  <c r="F42" i="5" s="1"/>
  <c r="T69" i="5"/>
  <c r="T73" i="5" s="1"/>
  <c r="T7" i="4"/>
  <c r="T8" i="4" s="1"/>
  <c r="K17" i="4"/>
  <c r="F51" i="7"/>
  <c r="N75" i="7"/>
  <c r="O74" i="7"/>
  <c r="F40" i="6"/>
  <c r="F41" i="6"/>
  <c r="F42" i="6" s="1"/>
  <c r="V34" i="5"/>
  <c r="U35" i="5"/>
  <c r="U36" i="5" s="1"/>
  <c r="V34" i="7"/>
  <c r="U35" i="7"/>
  <c r="U36" i="7" s="1"/>
  <c r="U69" i="7" s="1"/>
  <c r="U73" i="7" s="1"/>
  <c r="E61" i="7"/>
  <c r="F46" i="7" s="1"/>
  <c r="L14" i="4"/>
  <c r="I55" i="5"/>
  <c r="M75" i="6"/>
  <c r="N74" i="6"/>
  <c r="V34" i="6"/>
  <c r="U35" i="6"/>
  <c r="U36" i="6" s="1"/>
  <c r="U69" i="6" s="1"/>
  <c r="U73" i="6" s="1"/>
  <c r="I55" i="6"/>
  <c r="M75" i="5"/>
  <c r="N74" i="5"/>
  <c r="E72" i="7"/>
  <c r="E65" i="7"/>
  <c r="I55" i="7"/>
  <c r="O75" i="7" l="1"/>
  <c r="P74" i="7"/>
  <c r="K44" i="7"/>
  <c r="K44" i="6"/>
  <c r="K44" i="5"/>
  <c r="N75" i="5"/>
  <c r="O74" i="5"/>
  <c r="W34" i="7"/>
  <c r="V35" i="7"/>
  <c r="V36" i="7" s="1"/>
  <c r="V69" i="7" s="1"/>
  <c r="V73" i="7" s="1"/>
  <c r="U69" i="5"/>
  <c r="U73" i="5" s="1"/>
  <c r="U7" i="4"/>
  <c r="U8" i="4" s="1"/>
  <c r="W34" i="5"/>
  <c r="V35" i="5"/>
  <c r="V36" i="5" s="1"/>
  <c r="F39" i="7"/>
  <c r="L37" i="7"/>
  <c r="L38" i="7" s="1"/>
  <c r="L37" i="6"/>
  <c r="L38" i="6" s="1"/>
  <c r="L37" i="5"/>
  <c r="L38" i="5" s="1"/>
  <c r="L15" i="4"/>
  <c r="L16" i="4" s="1"/>
  <c r="M12" i="4" s="1"/>
  <c r="F50" i="6"/>
  <c r="F67" i="6"/>
  <c r="F66" i="6"/>
  <c r="F45" i="6"/>
  <c r="F50" i="5"/>
  <c r="F45" i="5"/>
  <c r="F67" i="5"/>
  <c r="F66" i="5"/>
  <c r="N75" i="6"/>
  <c r="O74" i="6"/>
  <c r="W34" i="6"/>
  <c r="V35" i="6"/>
  <c r="V36" i="6" s="1"/>
  <c r="V69" i="6" s="1"/>
  <c r="V73" i="6" s="1"/>
  <c r="O75" i="5" l="1"/>
  <c r="P74" i="5"/>
  <c r="L17" i="4"/>
  <c r="J55" i="5"/>
  <c r="F40" i="7"/>
  <c r="F41" i="7"/>
  <c r="F42" i="7" s="1"/>
  <c r="J55" i="6"/>
  <c r="J55" i="7"/>
  <c r="X34" i="5"/>
  <c r="W35" i="5"/>
  <c r="W36" i="5" s="1"/>
  <c r="M14" i="4"/>
  <c r="F52" i="5"/>
  <c r="V69" i="5"/>
  <c r="V73" i="5" s="1"/>
  <c r="V7" i="4"/>
  <c r="V8" i="4" s="1"/>
  <c r="X34" i="6"/>
  <c r="W35" i="6"/>
  <c r="W36" i="6" s="1"/>
  <c r="W69" i="6" s="1"/>
  <c r="W73" i="6" s="1"/>
  <c r="X34" i="7"/>
  <c r="W35" i="7"/>
  <c r="W36" i="7" s="1"/>
  <c r="W69" i="7" s="1"/>
  <c r="W73" i="7" s="1"/>
  <c r="F52" i="6"/>
  <c r="P75" i="7"/>
  <c r="Q74" i="7"/>
  <c r="O75" i="6"/>
  <c r="P74" i="6"/>
  <c r="F56" i="6"/>
  <c r="Y34" i="7" l="1"/>
  <c r="X35" i="7"/>
  <c r="X36" i="7" s="1"/>
  <c r="X69" i="7" s="1"/>
  <c r="X73" i="7" s="1"/>
  <c r="P75" i="6"/>
  <c r="Q74" i="6"/>
  <c r="F50" i="7"/>
  <c r="F45" i="7"/>
  <c r="F66" i="7"/>
  <c r="F67" i="7"/>
  <c r="L44" i="7"/>
  <c r="L44" i="6"/>
  <c r="L44" i="5"/>
  <c r="Y34" i="6"/>
  <c r="X35" i="6"/>
  <c r="X36" i="6" s="1"/>
  <c r="X69" i="6" s="1"/>
  <c r="X73" i="6" s="1"/>
  <c r="F57" i="6"/>
  <c r="F59" i="6" s="1"/>
  <c r="F57" i="5"/>
  <c r="P75" i="5"/>
  <c r="Q74" i="5"/>
  <c r="W69" i="5"/>
  <c r="W73" i="5" s="1"/>
  <c r="W7" i="4"/>
  <c r="W8" i="4" s="1"/>
  <c r="Y34" i="5"/>
  <c r="X35" i="5"/>
  <c r="X36" i="5" s="1"/>
  <c r="F53" i="6"/>
  <c r="F53" i="5"/>
  <c r="Q75" i="7"/>
  <c r="R74" i="7"/>
  <c r="M37" i="7"/>
  <c r="M38" i="7" s="1"/>
  <c r="M37" i="6"/>
  <c r="M38" i="6" s="1"/>
  <c r="M37" i="5"/>
  <c r="M38" i="5" s="1"/>
  <c r="M15" i="4"/>
  <c r="M16" i="4" s="1"/>
  <c r="N12" i="4" s="1"/>
  <c r="F56" i="5"/>
  <c r="F58" i="5" l="1"/>
  <c r="F58" i="6"/>
  <c r="G51" i="5"/>
  <c r="G51" i="6"/>
  <c r="F52" i="7"/>
  <c r="G47" i="5"/>
  <c r="F54" i="5"/>
  <c r="Q75" i="6"/>
  <c r="R74" i="6"/>
  <c r="R75" i="7"/>
  <c r="S74" i="7"/>
  <c r="F60" i="6"/>
  <c r="F63" i="6" s="1"/>
  <c r="G47" i="6"/>
  <c r="F54" i="6"/>
  <c r="Z34" i="5"/>
  <c r="Y35" i="5"/>
  <c r="Y36" i="5" s="1"/>
  <c r="Z34" i="6"/>
  <c r="Y35" i="6"/>
  <c r="Y36" i="6" s="1"/>
  <c r="Y69" i="6" s="1"/>
  <c r="Y73" i="6" s="1"/>
  <c r="X69" i="5"/>
  <c r="X73" i="5" s="1"/>
  <c r="X7" i="4"/>
  <c r="X8" i="4" s="1"/>
  <c r="N14" i="4"/>
  <c r="M17" i="4"/>
  <c r="K55" i="5"/>
  <c r="Z34" i="7"/>
  <c r="Y35" i="7"/>
  <c r="Y36" i="7" s="1"/>
  <c r="Y69" i="7" s="1"/>
  <c r="Y73" i="7" s="1"/>
  <c r="F59" i="5"/>
  <c r="F60" i="5" s="1"/>
  <c r="F63" i="5" s="1"/>
  <c r="Q75" i="5"/>
  <c r="R74" i="5"/>
  <c r="K55" i="6"/>
  <c r="K55" i="7"/>
  <c r="F65" i="5" l="1"/>
  <c r="F72" i="5"/>
  <c r="Y69" i="5"/>
  <c r="Y73" i="5" s="1"/>
  <c r="Y7" i="4"/>
  <c r="Y8" i="4" s="1"/>
  <c r="R75" i="5"/>
  <c r="S74" i="5"/>
  <c r="M44" i="7"/>
  <c r="M44" i="6"/>
  <c r="M44" i="5"/>
  <c r="F68" i="6"/>
  <c r="AA34" i="5"/>
  <c r="Z35" i="5"/>
  <c r="Z36" i="5" s="1"/>
  <c r="N37" i="7"/>
  <c r="N38" i="7" s="1"/>
  <c r="N37" i="6"/>
  <c r="N38" i="6" s="1"/>
  <c r="N37" i="5"/>
  <c r="N38" i="5" s="1"/>
  <c r="N15" i="4"/>
  <c r="N16" i="4" s="1"/>
  <c r="O12" i="4" s="1"/>
  <c r="G48" i="6"/>
  <c r="G49" i="6"/>
  <c r="F57" i="7"/>
  <c r="F56" i="7"/>
  <c r="F72" i="6"/>
  <c r="F65" i="6"/>
  <c r="S75" i="7"/>
  <c r="T74" i="7"/>
  <c r="F53" i="7"/>
  <c r="R75" i="6"/>
  <c r="S74" i="6"/>
  <c r="F61" i="5"/>
  <c r="AA34" i="7"/>
  <c r="Z35" i="7"/>
  <c r="Z36" i="7" s="1"/>
  <c r="Z69" i="7" s="1"/>
  <c r="Z73" i="7" s="1"/>
  <c r="AA34" i="6"/>
  <c r="Z35" i="6"/>
  <c r="Z36" i="6" s="1"/>
  <c r="Z69" i="6" s="1"/>
  <c r="Z73" i="6" s="1"/>
  <c r="F68" i="5"/>
  <c r="G48" i="5"/>
  <c r="F61" i="6"/>
  <c r="F59" i="7" l="1"/>
  <c r="L55" i="6"/>
  <c r="O14" i="4"/>
  <c r="L55" i="7"/>
  <c r="S75" i="5"/>
  <c r="T74" i="5"/>
  <c r="N17" i="4"/>
  <c r="Z69" i="5"/>
  <c r="Z73" i="5" s="1"/>
  <c r="Z7" i="4"/>
  <c r="Z8" i="4" s="1"/>
  <c r="L55" i="5"/>
  <c r="T75" i="7"/>
  <c r="U74" i="7"/>
  <c r="AB34" i="6"/>
  <c r="AA35" i="6"/>
  <c r="AA36" i="6" s="1"/>
  <c r="AA69" i="6" s="1"/>
  <c r="AA73" i="6" s="1"/>
  <c r="G46" i="6"/>
  <c r="G39" i="6"/>
  <c r="F58" i="7"/>
  <c r="S75" i="6"/>
  <c r="T74" i="6"/>
  <c r="F60" i="7"/>
  <c r="F63" i="7" s="1"/>
  <c r="G47" i="7"/>
  <c r="F54" i="7"/>
  <c r="AB34" i="7"/>
  <c r="AA35" i="7"/>
  <c r="AA36" i="7" s="1"/>
  <c r="AA69" i="7" s="1"/>
  <c r="AA73" i="7" s="1"/>
  <c r="G49" i="5"/>
  <c r="G46" i="5"/>
  <c r="G39" i="5"/>
  <c r="AB34" i="5"/>
  <c r="AA35" i="5"/>
  <c r="AA36" i="5" s="1"/>
  <c r="U75" i="7" l="1"/>
  <c r="V74" i="7"/>
  <c r="F72" i="7"/>
  <c r="F65" i="7"/>
  <c r="O37" i="7"/>
  <c r="O38" i="7" s="1"/>
  <c r="O37" i="6"/>
  <c r="O38" i="6" s="1"/>
  <c r="O37" i="5"/>
  <c r="O38" i="5" s="1"/>
  <c r="O15" i="4"/>
  <c r="O16" i="4" s="1"/>
  <c r="P12" i="4" s="1"/>
  <c r="G48" i="7"/>
  <c r="G49" i="7" s="1"/>
  <c r="AA69" i="5"/>
  <c r="AA73" i="5" s="1"/>
  <c r="AA7" i="4"/>
  <c r="AA8" i="4" s="1"/>
  <c r="N44" i="7"/>
  <c r="N44" i="6"/>
  <c r="N44" i="5"/>
  <c r="G51" i="7"/>
  <c r="T75" i="5"/>
  <c r="U74" i="5"/>
  <c r="G40" i="5"/>
  <c r="G41" i="5" s="1"/>
  <c r="G42" i="5" s="1"/>
  <c r="G40" i="6"/>
  <c r="G41" i="6" s="1"/>
  <c r="G42" i="6" s="1"/>
  <c r="AB35" i="5"/>
  <c r="AB36" i="5" s="1"/>
  <c r="F68" i="7"/>
  <c r="AB35" i="7"/>
  <c r="AB36" i="7" s="1"/>
  <c r="AB69" i="7" s="1"/>
  <c r="AB35" i="6"/>
  <c r="AB36" i="6" s="1"/>
  <c r="AB69" i="6" s="1"/>
  <c r="F61" i="7"/>
  <c r="G46" i="7" s="1"/>
  <c r="T75" i="6"/>
  <c r="U74" i="6"/>
  <c r="G50" i="6" l="1"/>
  <c r="G66" i="6"/>
  <c r="G45" i="6"/>
  <c r="G67" i="6"/>
  <c r="O17" i="4"/>
  <c r="AB73" i="7"/>
  <c r="E33" i="1" s="1"/>
  <c r="E28" i="1"/>
  <c r="P14" i="4"/>
  <c r="M55" i="5"/>
  <c r="G50" i="5"/>
  <c r="G67" i="5"/>
  <c r="G45" i="5"/>
  <c r="G66" i="5"/>
  <c r="M55" i="6"/>
  <c r="AB73" i="6"/>
  <c r="D33" i="1" s="1"/>
  <c r="D28" i="1"/>
  <c r="AB69" i="5"/>
  <c r="AB7" i="4"/>
  <c r="AB8" i="4" s="1"/>
  <c r="C20" i="4" s="1"/>
  <c r="M55" i="7"/>
  <c r="U75" i="5"/>
  <c r="V74" i="5"/>
  <c r="G39" i="7"/>
  <c r="U75" i="6"/>
  <c r="V74" i="6"/>
  <c r="V75" i="7"/>
  <c r="W74" i="7"/>
  <c r="O44" i="7" l="1"/>
  <c r="O44" i="6"/>
  <c r="O44" i="5"/>
  <c r="G52" i="5"/>
  <c r="G53" i="5" s="1"/>
  <c r="V75" i="5"/>
  <c r="W74" i="5"/>
  <c r="P37" i="7"/>
  <c r="P38" i="7" s="1"/>
  <c r="P37" i="6"/>
  <c r="P38" i="6" s="1"/>
  <c r="P37" i="5"/>
  <c r="P38" i="5" s="1"/>
  <c r="P15" i="4"/>
  <c r="P16" i="4" s="1"/>
  <c r="Q12" i="4" s="1"/>
  <c r="V75" i="6"/>
  <c r="W74" i="6"/>
  <c r="W75" i="7"/>
  <c r="X74" i="7"/>
  <c r="G52" i="6"/>
  <c r="G53" i="6"/>
  <c r="G40" i="7"/>
  <c r="G41" i="7" s="1"/>
  <c r="G42" i="7" s="1"/>
  <c r="AB73" i="5"/>
  <c r="C33" i="1" s="1"/>
  <c r="C28" i="1"/>
  <c r="G56" i="5"/>
  <c r="G56" i="6"/>
  <c r="H47" i="5" l="1"/>
  <c r="G54" i="5"/>
  <c r="W75" i="5"/>
  <c r="X74" i="5"/>
  <c r="X75" i="7"/>
  <c r="Y74" i="7"/>
  <c r="W75" i="6"/>
  <c r="X74" i="6"/>
  <c r="G57" i="5"/>
  <c r="G58" i="5" s="1"/>
  <c r="N55" i="5"/>
  <c r="G50" i="7"/>
  <c r="G45" i="7"/>
  <c r="G66" i="7"/>
  <c r="G67" i="7"/>
  <c r="H47" i="6"/>
  <c r="G54" i="6"/>
  <c r="Q14" i="4"/>
  <c r="N55" i="6"/>
  <c r="G57" i="6"/>
  <c r="G59" i="6" s="1"/>
  <c r="P17" i="4"/>
  <c r="N55" i="7"/>
  <c r="G60" i="6" l="1"/>
  <c r="G63" i="6" s="1"/>
  <c r="H51" i="5"/>
  <c r="G52" i="7"/>
  <c r="G56" i="7" s="1"/>
  <c r="X75" i="6"/>
  <c r="Y74" i="6"/>
  <c r="Y75" i="7"/>
  <c r="Z74" i="7"/>
  <c r="G68" i="6"/>
  <c r="X75" i="5"/>
  <c r="Y74" i="5"/>
  <c r="G58" i="6"/>
  <c r="H48" i="6"/>
  <c r="H49" i="6" s="1"/>
  <c r="G59" i="5"/>
  <c r="P44" i="7"/>
  <c r="P44" i="6"/>
  <c r="P44" i="5"/>
  <c r="G68" i="5"/>
  <c r="H48" i="5"/>
  <c r="H49" i="5" s="1"/>
  <c r="Q37" i="7"/>
  <c r="Q38" i="7" s="1"/>
  <c r="Q37" i="6"/>
  <c r="Q38" i="6" s="1"/>
  <c r="Q37" i="5"/>
  <c r="Q38" i="5" s="1"/>
  <c r="Q15" i="4"/>
  <c r="Q16" i="4" s="1"/>
  <c r="R12" i="4" s="1"/>
  <c r="Q17" i="4" l="1"/>
  <c r="G60" i="5"/>
  <c r="G63" i="5" s="1"/>
  <c r="Z75" i="7"/>
  <c r="AA74" i="7"/>
  <c r="Y75" i="6"/>
  <c r="Z74" i="6"/>
  <c r="G53" i="7"/>
  <c r="R14" i="4"/>
  <c r="H51" i="6"/>
  <c r="H39" i="6"/>
  <c r="O55" i="5"/>
  <c r="O55" i="6"/>
  <c r="O55" i="7"/>
  <c r="G57" i="7"/>
  <c r="G59" i="7" s="1"/>
  <c r="G58" i="7"/>
  <c r="Y75" i="5"/>
  <c r="Z74" i="5"/>
  <c r="G65" i="6"/>
  <c r="G72" i="6"/>
  <c r="G61" i="6"/>
  <c r="H46" i="6" s="1"/>
  <c r="Z75" i="6" l="1"/>
  <c r="AA74" i="6"/>
  <c r="H40" i="6"/>
  <c r="H41" i="6"/>
  <c r="H42" i="6" s="1"/>
  <c r="AA75" i="7"/>
  <c r="AB74" i="7"/>
  <c r="AB75" i="7" s="1"/>
  <c r="E34" i="1" s="1"/>
  <c r="H51" i="7"/>
  <c r="G65" i="5"/>
  <c r="G72" i="5"/>
  <c r="G61" i="5"/>
  <c r="Z75" i="5"/>
  <c r="AA74" i="5"/>
  <c r="R37" i="7"/>
  <c r="R38" i="7" s="1"/>
  <c r="R37" i="6"/>
  <c r="R38" i="6" s="1"/>
  <c r="R37" i="5"/>
  <c r="R38" i="5" s="1"/>
  <c r="R15" i="4"/>
  <c r="R16" i="4" s="1"/>
  <c r="Q44" i="7"/>
  <c r="Q44" i="6"/>
  <c r="Q44" i="5"/>
  <c r="G60" i="7"/>
  <c r="G63" i="7" s="1"/>
  <c r="H47" i="7"/>
  <c r="G54" i="7"/>
  <c r="P55" i="7" l="1"/>
  <c r="S12" i="4"/>
  <c r="C23" i="4"/>
  <c r="C47" i="1" s="1"/>
  <c r="P55" i="6"/>
  <c r="H50" i="6"/>
  <c r="H45" i="6"/>
  <c r="H67" i="6"/>
  <c r="H66" i="6"/>
  <c r="R17" i="4"/>
  <c r="G68" i="7"/>
  <c r="AA75" i="5"/>
  <c r="AB74" i="5"/>
  <c r="AB75" i="5" s="1"/>
  <c r="C34" i="1" s="1"/>
  <c r="H48" i="7"/>
  <c r="H49" i="7"/>
  <c r="H46" i="5"/>
  <c r="H39" i="5"/>
  <c r="AA75" i="6"/>
  <c r="AB74" i="6"/>
  <c r="AB75" i="6" s="1"/>
  <c r="D34" i="1" s="1"/>
  <c r="G72" i="7"/>
  <c r="G65" i="7"/>
  <c r="P55" i="5"/>
  <c r="G61" i="7"/>
  <c r="R44" i="7" l="1"/>
  <c r="R44" i="6"/>
  <c r="R44" i="5"/>
  <c r="S14" i="4"/>
  <c r="H46" i="7"/>
  <c r="H39" i="7"/>
  <c r="H52" i="6"/>
  <c r="H53" i="6"/>
  <c r="H40" i="5"/>
  <c r="H41" i="5" s="1"/>
  <c r="H42" i="5" s="1"/>
  <c r="H50" i="5" l="1"/>
  <c r="H45" i="5"/>
  <c r="H66" i="5"/>
  <c r="H67" i="5"/>
  <c r="H40" i="7"/>
  <c r="H41" i="7"/>
  <c r="H42" i="7" s="1"/>
  <c r="S37" i="7"/>
  <c r="S38" i="7" s="1"/>
  <c r="S37" i="6"/>
  <c r="S38" i="6" s="1"/>
  <c r="S37" i="5"/>
  <c r="S38" i="5" s="1"/>
  <c r="S15" i="4"/>
  <c r="S16" i="4" s="1"/>
  <c r="T12" i="4" s="1"/>
  <c r="I47" i="6"/>
  <c r="H54" i="6"/>
  <c r="Q55" i="7"/>
  <c r="Q55" i="5"/>
  <c r="Q55" i="6"/>
  <c r="H57" i="6"/>
  <c r="H56" i="6"/>
  <c r="H59" i="6" s="1"/>
  <c r="S17" i="4" l="1"/>
  <c r="H58" i="6"/>
  <c r="I51" i="6" s="1"/>
  <c r="H50" i="7"/>
  <c r="H66" i="7"/>
  <c r="H45" i="7"/>
  <c r="H67" i="7"/>
  <c r="S44" i="7"/>
  <c r="S44" i="6"/>
  <c r="S44" i="5"/>
  <c r="H68" i="6"/>
  <c r="I48" i="6"/>
  <c r="I49" i="6" s="1"/>
  <c r="H60" i="6"/>
  <c r="H63" i="6" s="1"/>
  <c r="T14" i="4"/>
  <c r="H52" i="5"/>
  <c r="H53" i="5" s="1"/>
  <c r="I47" i="5" l="1"/>
  <c r="H54" i="5"/>
  <c r="H65" i="6"/>
  <c r="H72" i="6"/>
  <c r="H61" i="6"/>
  <c r="H57" i="5"/>
  <c r="H56" i="5"/>
  <c r="H59" i="5" s="1"/>
  <c r="H60" i="5" s="1"/>
  <c r="H63" i="5" s="1"/>
  <c r="T37" i="7"/>
  <c r="T38" i="7" s="1"/>
  <c r="T37" i="6"/>
  <c r="T38" i="6" s="1"/>
  <c r="T37" i="5"/>
  <c r="T38" i="5" s="1"/>
  <c r="T15" i="4"/>
  <c r="T16" i="4" s="1"/>
  <c r="U12" i="4" s="1"/>
  <c r="H53" i="7"/>
  <c r="H52" i="7"/>
  <c r="S66" i="5"/>
  <c r="R55" i="5"/>
  <c r="S45" i="5"/>
  <c r="S66" i="6"/>
  <c r="S45" i="6"/>
  <c r="R55" i="6"/>
  <c r="S45" i="7"/>
  <c r="R55" i="7"/>
  <c r="S66" i="7"/>
  <c r="H65" i="5" l="1"/>
  <c r="H72" i="5"/>
  <c r="I47" i="7"/>
  <c r="H54" i="7"/>
  <c r="I46" i="6"/>
  <c r="I39" i="6"/>
  <c r="T17" i="4"/>
  <c r="H58" i="5"/>
  <c r="H68" i="5"/>
  <c r="I48" i="5"/>
  <c r="I49" i="5" s="1"/>
  <c r="U14" i="4"/>
  <c r="H61" i="5"/>
  <c r="I46" i="5" s="1"/>
  <c r="H57" i="7"/>
  <c r="H56" i="7"/>
  <c r="H59" i="7" s="1"/>
  <c r="I51" i="5" l="1"/>
  <c r="I39" i="5"/>
  <c r="U37" i="7"/>
  <c r="U38" i="7" s="1"/>
  <c r="U37" i="6"/>
  <c r="U38" i="6" s="1"/>
  <c r="U37" i="5"/>
  <c r="U38" i="5" s="1"/>
  <c r="U15" i="4"/>
  <c r="U16" i="4" s="1"/>
  <c r="V12" i="4" s="1"/>
  <c r="H58" i="7"/>
  <c r="I40" i="6"/>
  <c r="I41" i="6" s="1"/>
  <c r="I42" i="6" s="1"/>
  <c r="I48" i="7"/>
  <c r="I49" i="7" s="1"/>
  <c r="T44" i="7"/>
  <c r="T44" i="6"/>
  <c r="T44" i="5"/>
  <c r="H68" i="7"/>
  <c r="H60" i="7"/>
  <c r="H63" i="7" s="1"/>
  <c r="I50" i="6" l="1"/>
  <c r="I67" i="6"/>
  <c r="I45" i="6"/>
  <c r="I66" i="6"/>
  <c r="V14" i="4"/>
  <c r="U17" i="4"/>
  <c r="T45" i="7"/>
  <c r="T66" i="7"/>
  <c r="S55" i="7"/>
  <c r="I51" i="7"/>
  <c r="I39" i="7"/>
  <c r="T66" i="5"/>
  <c r="S55" i="5"/>
  <c r="T45" i="5"/>
  <c r="H61" i="7"/>
  <c r="I46" i="7" s="1"/>
  <c r="H72" i="7"/>
  <c r="H65" i="7"/>
  <c r="T66" i="6"/>
  <c r="T45" i="6"/>
  <c r="S55" i="6"/>
  <c r="I40" i="5"/>
  <c r="I41" i="5"/>
  <c r="I42" i="5" s="1"/>
  <c r="V37" i="7" l="1"/>
  <c r="V38" i="7" s="1"/>
  <c r="V37" i="6"/>
  <c r="V38" i="6" s="1"/>
  <c r="V37" i="5"/>
  <c r="V38" i="5" s="1"/>
  <c r="V15" i="4"/>
  <c r="V16" i="4" s="1"/>
  <c r="W12" i="4" s="1"/>
  <c r="I50" i="5"/>
  <c r="I45" i="5"/>
  <c r="I66" i="5"/>
  <c r="I67" i="5"/>
  <c r="U44" i="7"/>
  <c r="U44" i="6"/>
  <c r="U44" i="5"/>
  <c r="I40" i="7"/>
  <c r="I41" i="7" s="1"/>
  <c r="I42" i="7" s="1"/>
  <c r="I52" i="6"/>
  <c r="I53" i="6" s="1"/>
  <c r="I50" i="7" l="1"/>
  <c r="I66" i="7"/>
  <c r="I67" i="7"/>
  <c r="I45" i="7"/>
  <c r="J47" i="6"/>
  <c r="I54" i="6"/>
  <c r="I68" i="6" s="1"/>
  <c r="I52" i="5"/>
  <c r="I56" i="5" s="1"/>
  <c r="I56" i="6"/>
  <c r="I57" i="6"/>
  <c r="W14" i="4"/>
  <c r="U66" i="5"/>
  <c r="U45" i="5"/>
  <c r="T55" i="5"/>
  <c r="U66" i="6"/>
  <c r="T55" i="6"/>
  <c r="U45" i="6"/>
  <c r="U45" i="7"/>
  <c r="U66" i="7"/>
  <c r="T55" i="7"/>
  <c r="V17" i="4"/>
  <c r="I59" i="6" l="1"/>
  <c r="J48" i="6"/>
  <c r="J49" i="6"/>
  <c r="I53" i="5"/>
  <c r="V44" i="7"/>
  <c r="V44" i="6"/>
  <c r="V44" i="5"/>
  <c r="I52" i="7"/>
  <c r="I56" i="7" s="1"/>
  <c r="I58" i="5"/>
  <c r="I57" i="5"/>
  <c r="I59" i="5" s="1"/>
  <c r="W37" i="7"/>
  <c r="W38" i="7" s="1"/>
  <c r="W37" i="6"/>
  <c r="W38" i="6" s="1"/>
  <c r="W37" i="5"/>
  <c r="W38" i="5" s="1"/>
  <c r="W15" i="4"/>
  <c r="W16" i="4" s="1"/>
  <c r="X12" i="4" s="1"/>
  <c r="I58" i="6"/>
  <c r="I57" i="7" l="1"/>
  <c r="I59" i="7" s="1"/>
  <c r="J51" i="5"/>
  <c r="X14" i="4"/>
  <c r="V45" i="7"/>
  <c r="V66" i="7"/>
  <c r="U55" i="7"/>
  <c r="I53" i="7"/>
  <c r="V66" i="6"/>
  <c r="V45" i="6"/>
  <c r="U55" i="6"/>
  <c r="I60" i="5"/>
  <c r="I63" i="5" s="1"/>
  <c r="J47" i="5"/>
  <c r="I54" i="5"/>
  <c r="I68" i="5" s="1"/>
  <c r="I60" i="6"/>
  <c r="I63" i="6" s="1"/>
  <c r="V66" i="5"/>
  <c r="V45" i="5"/>
  <c r="U55" i="5"/>
  <c r="J51" i="6"/>
  <c r="W17" i="4"/>
  <c r="I58" i="7" l="1"/>
  <c r="X37" i="7"/>
  <c r="X38" i="7" s="1"/>
  <c r="X37" i="6"/>
  <c r="X38" i="6" s="1"/>
  <c r="X37" i="5"/>
  <c r="X38" i="5" s="1"/>
  <c r="X15" i="4"/>
  <c r="X16" i="4" s="1"/>
  <c r="Y12" i="4" s="1"/>
  <c r="I60" i="7"/>
  <c r="I63" i="7" s="1"/>
  <c r="J47" i="7"/>
  <c r="I54" i="7"/>
  <c r="I68" i="7" s="1"/>
  <c r="I61" i="6"/>
  <c r="I65" i="6"/>
  <c r="I72" i="6"/>
  <c r="J51" i="7"/>
  <c r="W44" i="7"/>
  <c r="W44" i="6"/>
  <c r="W44" i="5"/>
  <c r="J48" i="5"/>
  <c r="J49" i="5" s="1"/>
  <c r="I72" i="5"/>
  <c r="I65" i="5"/>
  <c r="I61" i="5"/>
  <c r="J46" i="6" l="1"/>
  <c r="J39" i="6"/>
  <c r="J48" i="7"/>
  <c r="J49" i="7"/>
  <c r="W66" i="6"/>
  <c r="V55" i="6"/>
  <c r="W45" i="6"/>
  <c r="W66" i="5"/>
  <c r="W45" i="5"/>
  <c r="V55" i="5"/>
  <c r="W45" i="7"/>
  <c r="W66" i="7"/>
  <c r="V55" i="7"/>
  <c r="Y14" i="4"/>
  <c r="I65" i="7"/>
  <c r="I72" i="7"/>
  <c r="X17" i="4"/>
  <c r="J46" i="5"/>
  <c r="J39" i="5"/>
  <c r="I61" i="7"/>
  <c r="X44" i="7" l="1"/>
  <c r="X44" i="6"/>
  <c r="X44" i="5"/>
  <c r="Y37" i="7"/>
  <c r="Y38" i="7" s="1"/>
  <c r="Y37" i="6"/>
  <c r="Y38" i="6" s="1"/>
  <c r="Y37" i="5"/>
  <c r="Y38" i="5" s="1"/>
  <c r="Y15" i="4"/>
  <c r="Y16" i="4" s="1"/>
  <c r="Z12" i="4" s="1"/>
  <c r="J40" i="6"/>
  <c r="J41" i="6" s="1"/>
  <c r="J42" i="6" s="1"/>
  <c r="J40" i="5"/>
  <c r="J41" i="5" s="1"/>
  <c r="J42" i="5" s="1"/>
  <c r="J46" i="7"/>
  <c r="J39" i="7"/>
  <c r="J50" i="5" l="1"/>
  <c r="J66" i="5"/>
  <c r="J67" i="5"/>
  <c r="J45" i="5"/>
  <c r="J50" i="6"/>
  <c r="J45" i="6"/>
  <c r="J67" i="6"/>
  <c r="J66" i="6"/>
  <c r="Z14" i="4"/>
  <c r="Y17" i="4"/>
  <c r="J40" i="7"/>
  <c r="J41" i="7"/>
  <c r="J42" i="7" s="1"/>
  <c r="X45" i="5"/>
  <c r="W55" i="5"/>
  <c r="X66" i="5"/>
  <c r="X66" i="6"/>
  <c r="X45" i="6"/>
  <c r="W55" i="6"/>
  <c r="X45" i="7"/>
  <c r="X66" i="7"/>
  <c r="W55" i="7"/>
  <c r="J52" i="6" l="1"/>
  <c r="J53" i="6" s="1"/>
  <c r="Y44" i="7"/>
  <c r="Y44" i="6"/>
  <c r="Y44" i="5"/>
  <c r="J50" i="7"/>
  <c r="J66" i="7"/>
  <c r="J45" i="7"/>
  <c r="J67" i="7"/>
  <c r="Z37" i="7"/>
  <c r="Z38" i="7" s="1"/>
  <c r="Z37" i="6"/>
  <c r="Z38" i="6" s="1"/>
  <c r="Z37" i="5"/>
  <c r="Z38" i="5" s="1"/>
  <c r="Z15" i="4"/>
  <c r="Z16" i="4" s="1"/>
  <c r="AA12" i="4" s="1"/>
  <c r="J52" i="5"/>
  <c r="J53" i="5" s="1"/>
  <c r="K47" i="5" l="1"/>
  <c r="J54" i="5"/>
  <c r="J68" i="5" s="1"/>
  <c r="K47" i="6"/>
  <c r="J54" i="6"/>
  <c r="J68" i="6" s="1"/>
  <c r="Y45" i="5"/>
  <c r="X55" i="5"/>
  <c r="Y66" i="5"/>
  <c r="Z17" i="4"/>
  <c r="J52" i="7"/>
  <c r="J53" i="7" s="1"/>
  <c r="J56" i="7"/>
  <c r="AA14" i="4"/>
  <c r="Y45" i="7"/>
  <c r="Y66" i="7"/>
  <c r="X55" i="7"/>
  <c r="J57" i="5"/>
  <c r="J56" i="5"/>
  <c r="X55" i="6"/>
  <c r="Y66" i="6"/>
  <c r="Y45" i="6"/>
  <c r="J57" i="6"/>
  <c r="J56" i="6"/>
  <c r="J59" i="6" s="1"/>
  <c r="J60" i="6" s="1"/>
  <c r="J63" i="6" s="1"/>
  <c r="J59" i="5" l="1"/>
  <c r="J65" i="6"/>
  <c r="J72" i="6"/>
  <c r="K47" i="7"/>
  <c r="J54" i="7"/>
  <c r="J68" i="7" s="1"/>
  <c r="AA37" i="7"/>
  <c r="AA38" i="7" s="1"/>
  <c r="AA37" i="6"/>
  <c r="AA38" i="6" s="1"/>
  <c r="AA37" i="5"/>
  <c r="AA38" i="5" s="1"/>
  <c r="AA15" i="4"/>
  <c r="AA16" i="4" s="1"/>
  <c r="AB12" i="4" s="1"/>
  <c r="K48" i="6"/>
  <c r="K49" i="6" s="1"/>
  <c r="J61" i="6"/>
  <c r="K46" i="6" s="1"/>
  <c r="J58" i="6"/>
  <c r="Z44" i="7"/>
  <c r="Z44" i="6"/>
  <c r="Z44" i="5"/>
  <c r="K48" i="5"/>
  <c r="K49" i="5"/>
  <c r="J58" i="5"/>
  <c r="J57" i="7"/>
  <c r="J59" i="7" s="1"/>
  <c r="J60" i="5"/>
  <c r="J63" i="5" s="1"/>
  <c r="J60" i="7" l="1"/>
  <c r="J63" i="7" s="1"/>
  <c r="AB14" i="4"/>
  <c r="K48" i="7"/>
  <c r="K49" i="7" s="1"/>
  <c r="J58" i="7"/>
  <c r="AA17" i="4"/>
  <c r="Z66" i="5"/>
  <c r="Z45" i="5"/>
  <c r="Y55" i="5"/>
  <c r="Z66" i="7"/>
  <c r="Y55" i="7"/>
  <c r="Z45" i="7"/>
  <c r="K51" i="5"/>
  <c r="Z66" i="6"/>
  <c r="Z45" i="6"/>
  <c r="Y55" i="6"/>
  <c r="K51" i="6"/>
  <c r="K39" i="6"/>
  <c r="J61" i="5"/>
  <c r="K46" i="5" s="1"/>
  <c r="J72" i="5"/>
  <c r="J65" i="5"/>
  <c r="K39" i="5" l="1"/>
  <c r="AA44" i="7"/>
  <c r="AA44" i="6"/>
  <c r="AA44" i="5"/>
  <c r="AB37" i="7"/>
  <c r="AB38" i="7" s="1"/>
  <c r="AB37" i="6"/>
  <c r="AB38" i="6" s="1"/>
  <c r="AB37" i="5"/>
  <c r="AB38" i="5" s="1"/>
  <c r="AB15" i="4"/>
  <c r="AB16" i="4" s="1"/>
  <c r="K51" i="7"/>
  <c r="J65" i="7"/>
  <c r="J72" i="7"/>
  <c r="J61" i="7"/>
  <c r="K46" i="7" s="1"/>
  <c r="K40" i="6"/>
  <c r="K41" i="6" s="1"/>
  <c r="K42" i="6" s="1"/>
  <c r="K40" i="5"/>
  <c r="K41" i="5" s="1"/>
  <c r="K42" i="5" s="1"/>
  <c r="K50" i="6" l="1"/>
  <c r="K66" i="6"/>
  <c r="K67" i="6"/>
  <c r="K45" i="6"/>
  <c r="AB17" i="4"/>
  <c r="K50" i="5"/>
  <c r="K67" i="5"/>
  <c r="K45" i="5"/>
  <c r="K66" i="5"/>
  <c r="AA66" i="6"/>
  <c r="AA45" i="6"/>
  <c r="Z55" i="6"/>
  <c r="AA66" i="5"/>
  <c r="AA45" i="5"/>
  <c r="Z55" i="5"/>
  <c r="AA66" i="7"/>
  <c r="Z55" i="7"/>
  <c r="AA45" i="7"/>
  <c r="K39" i="7"/>
  <c r="K52" i="5" l="1"/>
  <c r="K53" i="5" s="1"/>
  <c r="K40" i="7"/>
  <c r="K41" i="7" s="1"/>
  <c r="K42" i="7" s="1"/>
  <c r="AB44" i="7"/>
  <c r="AB44" i="6"/>
  <c r="AB44" i="5"/>
  <c r="C58" i="1"/>
  <c r="K52" i="6"/>
  <c r="K56" i="6" s="1"/>
  <c r="K50" i="7" l="1"/>
  <c r="K45" i="7"/>
  <c r="K67" i="7"/>
  <c r="K66" i="7"/>
  <c r="L47" i="5"/>
  <c r="K54" i="5"/>
  <c r="K68" i="5" s="1"/>
  <c r="AB66" i="6"/>
  <c r="AB45" i="6"/>
  <c r="AA55" i="6"/>
  <c r="K57" i="6"/>
  <c r="K58" i="6" s="1"/>
  <c r="K53" i="6"/>
  <c r="AB66" i="5"/>
  <c r="AB45" i="5"/>
  <c r="AA55" i="5"/>
  <c r="AA55" i="7"/>
  <c r="AB45" i="7"/>
  <c r="AB66" i="7"/>
  <c r="K57" i="5"/>
  <c r="K56" i="5"/>
  <c r="K59" i="5" s="1"/>
  <c r="L51" i="6" l="1"/>
  <c r="K58" i="5"/>
  <c r="K60" i="5"/>
  <c r="K63" i="5" s="1"/>
  <c r="L47" i="6"/>
  <c r="K54" i="6"/>
  <c r="K68" i="6" s="1"/>
  <c r="K52" i="7"/>
  <c r="K56" i="7" s="1"/>
  <c r="L48" i="5"/>
  <c r="L49" i="5" s="1"/>
  <c r="K59" i="6"/>
  <c r="K60" i="6" s="1"/>
  <c r="K63" i="6" s="1"/>
  <c r="K72" i="5" l="1"/>
  <c r="K65" i="5"/>
  <c r="L48" i="6"/>
  <c r="L49" i="6"/>
  <c r="K61" i="5"/>
  <c r="L46" i="5" s="1"/>
  <c r="L51" i="5"/>
  <c r="L39" i="5"/>
  <c r="K65" i="6"/>
  <c r="K72" i="6"/>
  <c r="K57" i="7"/>
  <c r="K58" i="7" s="1"/>
  <c r="K61" i="6"/>
  <c r="K53" i="7"/>
  <c r="L51" i="7" l="1"/>
  <c r="L40" i="5"/>
  <c r="L41" i="5" s="1"/>
  <c r="L42" i="5" s="1"/>
  <c r="L47" i="7"/>
  <c r="K54" i="7"/>
  <c r="K68" i="7" s="1"/>
  <c r="K59" i="7"/>
  <c r="K60" i="7" s="1"/>
  <c r="K63" i="7" s="1"/>
  <c r="L46" i="6"/>
  <c r="L39" i="6"/>
  <c r="L50" i="5" l="1"/>
  <c r="L45" i="5"/>
  <c r="L67" i="5"/>
  <c r="L66" i="5"/>
  <c r="L48" i="7"/>
  <c r="L49" i="7"/>
  <c r="K61" i="7"/>
  <c r="K65" i="7"/>
  <c r="K72" i="7"/>
  <c r="L40" i="6"/>
  <c r="L41" i="6" s="1"/>
  <c r="L42" i="6" s="1"/>
  <c r="L50" i="6" l="1"/>
  <c r="L45" i="6"/>
  <c r="L66" i="6"/>
  <c r="L67" i="6"/>
  <c r="L46" i="7"/>
  <c r="L39" i="7"/>
  <c r="L52" i="5"/>
  <c r="L53" i="5" s="1"/>
  <c r="M47" i="5" l="1"/>
  <c r="L54" i="5"/>
  <c r="L68" i="5" s="1"/>
  <c r="L52" i="6"/>
  <c r="L53" i="6"/>
  <c r="L40" i="7"/>
  <c r="L41" i="7" s="1"/>
  <c r="L42" i="7" s="1"/>
  <c r="L57" i="5"/>
  <c r="L56" i="5"/>
  <c r="L50" i="7" l="1"/>
  <c r="L67" i="7"/>
  <c r="L45" i="7"/>
  <c r="L66" i="7"/>
  <c r="L60" i="6"/>
  <c r="L63" i="6" s="1"/>
  <c r="M47" i="6"/>
  <c r="L54" i="6"/>
  <c r="L68" i="6" s="1"/>
  <c r="L57" i="6"/>
  <c r="M48" i="5"/>
  <c r="M49" i="5" s="1"/>
  <c r="L59" i="5"/>
  <c r="L58" i="5"/>
  <c r="L56" i="6"/>
  <c r="L58" i="6" l="1"/>
  <c r="M51" i="6"/>
  <c r="M48" i="6"/>
  <c r="M49" i="6"/>
  <c r="L52" i="7"/>
  <c r="L53" i="7" s="1"/>
  <c r="L65" i="6"/>
  <c r="L72" i="6"/>
  <c r="L60" i="5"/>
  <c r="L63" i="5" s="1"/>
  <c r="L59" i="6"/>
  <c r="L61" i="6" s="1"/>
  <c r="M46" i="6" s="1"/>
  <c r="M51" i="5"/>
  <c r="L60" i="7" l="1"/>
  <c r="L63" i="7" s="1"/>
  <c r="M47" i="7"/>
  <c r="L54" i="7"/>
  <c r="L68" i="7" s="1"/>
  <c r="L57" i="7"/>
  <c r="L72" i="5"/>
  <c r="L65" i="5"/>
  <c r="L56" i="7"/>
  <c r="L61" i="5"/>
  <c r="M39" i="6"/>
  <c r="L59" i="7" l="1"/>
  <c r="L61" i="7" s="1"/>
  <c r="M46" i="7" s="1"/>
  <c r="L58" i="7"/>
  <c r="M46" i="5"/>
  <c r="M39" i="5"/>
  <c r="M48" i="7"/>
  <c r="M49" i="7"/>
  <c r="M40" i="6"/>
  <c r="M41" i="6" s="1"/>
  <c r="M42" i="6" s="1"/>
  <c r="L65" i="7"/>
  <c r="L72" i="7"/>
  <c r="M50" i="6" l="1"/>
  <c r="M67" i="6"/>
  <c r="M66" i="6"/>
  <c r="M45" i="6"/>
  <c r="M40" i="5"/>
  <c r="M41" i="5" s="1"/>
  <c r="M42" i="5" s="1"/>
  <c r="M51" i="7"/>
  <c r="M39" i="7"/>
  <c r="M50" i="5" l="1"/>
  <c r="M67" i="5"/>
  <c r="M66" i="5"/>
  <c r="M45" i="5"/>
  <c r="M40" i="7"/>
  <c r="M41" i="7" s="1"/>
  <c r="M42" i="7" s="1"/>
  <c r="M52" i="6"/>
  <c r="M56" i="6" s="1"/>
  <c r="M50" i="7" l="1"/>
  <c r="M45" i="7"/>
  <c r="M67" i="7"/>
  <c r="M66" i="7"/>
  <c r="M52" i="5"/>
  <c r="M56" i="5" s="1"/>
  <c r="M57" i="6"/>
  <c r="M59" i="6" s="1"/>
  <c r="M53" i="6"/>
  <c r="M53" i="5" l="1"/>
  <c r="M60" i="6"/>
  <c r="M63" i="6" s="1"/>
  <c r="N47" i="6"/>
  <c r="M54" i="6"/>
  <c r="M68" i="6" s="1"/>
  <c r="M57" i="5"/>
  <c r="M59" i="5" s="1"/>
  <c r="M52" i="7"/>
  <c r="M58" i="6"/>
  <c r="N48" i="6" l="1"/>
  <c r="N49" i="6"/>
  <c r="N51" i="6"/>
  <c r="M58" i="5"/>
  <c r="M57" i="7"/>
  <c r="M56" i="7"/>
  <c r="M59" i="7" s="1"/>
  <c r="M53" i="7"/>
  <c r="M65" i="6"/>
  <c r="M72" i="6"/>
  <c r="M60" i="5"/>
  <c r="M63" i="5" s="1"/>
  <c r="N47" i="5"/>
  <c r="M54" i="5"/>
  <c r="M68" i="5" s="1"/>
  <c r="M61" i="6"/>
  <c r="N46" i="6" s="1"/>
  <c r="M60" i="7" l="1"/>
  <c r="M63" i="7" s="1"/>
  <c r="N47" i="7"/>
  <c r="M54" i="7"/>
  <c r="M68" i="7" s="1"/>
  <c r="N51" i="5"/>
  <c r="M58" i="7"/>
  <c r="N39" i="6"/>
  <c r="N48" i="5"/>
  <c r="N49" i="5"/>
  <c r="M72" i="5"/>
  <c r="M65" i="5"/>
  <c r="M61" i="5"/>
  <c r="N46" i="5" s="1"/>
  <c r="N39" i="5" l="1"/>
  <c r="N40" i="6"/>
  <c r="N41" i="6" s="1"/>
  <c r="N42" i="6" s="1"/>
  <c r="N48" i="7"/>
  <c r="N49" i="7" s="1"/>
  <c r="M65" i="7"/>
  <c r="M72" i="7"/>
  <c r="N51" i="7"/>
  <c r="N40" i="5"/>
  <c r="N41" i="5" s="1"/>
  <c r="N42" i="5" s="1"/>
  <c r="M61" i="7"/>
  <c r="N46" i="7" s="1"/>
  <c r="N39" i="7" l="1"/>
  <c r="N50" i="5"/>
  <c r="N45" i="5"/>
  <c r="N67" i="5"/>
  <c r="N66" i="5"/>
  <c r="N50" i="6"/>
  <c r="N67" i="6"/>
  <c r="N45" i="6"/>
  <c r="N66" i="6"/>
  <c r="N40" i="7"/>
  <c r="N41" i="7" s="1"/>
  <c r="N42" i="7" s="1"/>
  <c r="N50" i="7" l="1"/>
  <c r="N67" i="7"/>
  <c r="N66" i="7"/>
  <c r="N45" i="7"/>
  <c r="N52" i="6"/>
  <c r="N53" i="6" s="1"/>
  <c r="N52" i="5"/>
  <c r="N56" i="5" s="1"/>
  <c r="N60" i="6" l="1"/>
  <c r="N63" i="6" s="1"/>
  <c r="O47" i="6"/>
  <c r="N54" i="6"/>
  <c r="N68" i="6" s="1"/>
  <c r="N52" i="7"/>
  <c r="N53" i="7" s="1"/>
  <c r="N57" i="6"/>
  <c r="N57" i="5"/>
  <c r="N58" i="5" s="1"/>
  <c r="N53" i="5"/>
  <c r="N56" i="6"/>
  <c r="N58" i="6" s="1"/>
  <c r="N59" i="5" l="1"/>
  <c r="N60" i="7"/>
  <c r="N63" i="7" s="1"/>
  <c r="O47" i="7"/>
  <c r="N54" i="7"/>
  <c r="N68" i="7" s="1"/>
  <c r="O51" i="6"/>
  <c r="O51" i="5"/>
  <c r="N57" i="7"/>
  <c r="N56" i="7"/>
  <c r="N58" i="7" s="1"/>
  <c r="N60" i="5"/>
  <c r="N63" i="5" s="1"/>
  <c r="O47" i="5"/>
  <c r="N54" i="5"/>
  <c r="N68" i="5" s="1"/>
  <c r="O48" i="6"/>
  <c r="O49" i="6" s="1"/>
  <c r="N59" i="6"/>
  <c r="N61" i="6" s="1"/>
  <c r="O46" i="6" s="1"/>
  <c r="N72" i="6"/>
  <c r="N65" i="6"/>
  <c r="O51" i="7" l="1"/>
  <c r="O39" i="6"/>
  <c r="N61" i="5"/>
  <c r="N65" i="5"/>
  <c r="N72" i="5"/>
  <c r="O48" i="7"/>
  <c r="O49" i="7"/>
  <c r="N59" i="7"/>
  <c r="N61" i="7" s="1"/>
  <c r="O46" i="7" s="1"/>
  <c r="O48" i="5"/>
  <c r="O49" i="5" s="1"/>
  <c r="N65" i="7"/>
  <c r="N72" i="7"/>
  <c r="O40" i="6" l="1"/>
  <c r="O41" i="6"/>
  <c r="O42" i="6" s="1"/>
  <c r="O46" i="5"/>
  <c r="O39" i="5"/>
  <c r="O39" i="7"/>
  <c r="O40" i="7" l="1"/>
  <c r="O41" i="7"/>
  <c r="O42" i="7" s="1"/>
  <c r="O40" i="5"/>
  <c r="O41" i="5"/>
  <c r="O42" i="5" s="1"/>
  <c r="O50" i="6"/>
  <c r="O67" i="6"/>
  <c r="O45" i="6"/>
  <c r="O66" i="6"/>
  <c r="O50" i="5" l="1"/>
  <c r="O67" i="5"/>
  <c r="O66" i="5"/>
  <c r="O45" i="5"/>
  <c r="O52" i="6"/>
  <c r="O50" i="7"/>
  <c r="O45" i="7"/>
  <c r="O67" i="7"/>
  <c r="O66" i="7"/>
  <c r="O57" i="6" l="1"/>
  <c r="O56" i="6"/>
  <c r="O59" i="6" s="1"/>
  <c r="O52" i="7"/>
  <c r="O53" i="6"/>
  <c r="O52" i="5"/>
  <c r="O56" i="5"/>
  <c r="O57" i="7" l="1"/>
  <c r="O60" i="6"/>
  <c r="O63" i="6" s="1"/>
  <c r="P47" i="6"/>
  <c r="O54" i="6"/>
  <c r="O68" i="6" s="1"/>
  <c r="O53" i="7"/>
  <c r="O56" i="7"/>
  <c r="O59" i="7" s="1"/>
  <c r="O58" i="6"/>
  <c r="O57" i="5"/>
  <c r="O59" i="5" s="1"/>
  <c r="O53" i="5"/>
  <c r="O60" i="7" l="1"/>
  <c r="O63" i="7" s="1"/>
  <c r="P47" i="7"/>
  <c r="O54" i="7"/>
  <c r="O68" i="7" s="1"/>
  <c r="P51" i="6"/>
  <c r="P48" i="6"/>
  <c r="P49" i="6" s="1"/>
  <c r="O58" i="7"/>
  <c r="O58" i="5"/>
  <c r="O72" i="6"/>
  <c r="O65" i="6"/>
  <c r="O61" i="6"/>
  <c r="P46" i="6" s="1"/>
  <c r="O60" i="5"/>
  <c r="O63" i="5" s="1"/>
  <c r="P47" i="5"/>
  <c r="O54" i="5"/>
  <c r="O68" i="5" s="1"/>
  <c r="P39" i="6" l="1"/>
  <c r="P51" i="5"/>
  <c r="O65" i="7"/>
  <c r="O72" i="7"/>
  <c r="P48" i="5"/>
  <c r="P49" i="5" s="1"/>
  <c r="P48" i="7"/>
  <c r="P49" i="7" s="1"/>
  <c r="O61" i="7"/>
  <c r="P46" i="7" s="1"/>
  <c r="P51" i="7"/>
  <c r="P39" i="7"/>
  <c r="P40" i="6"/>
  <c r="P41" i="6" s="1"/>
  <c r="P42" i="6" s="1"/>
  <c r="O65" i="5"/>
  <c r="O72" i="5"/>
  <c r="O61" i="5"/>
  <c r="P46" i="5" s="1"/>
  <c r="P50" i="6" l="1"/>
  <c r="P45" i="6"/>
  <c r="P67" i="6"/>
  <c r="P66" i="6"/>
  <c r="P39" i="5"/>
  <c r="P40" i="7"/>
  <c r="P41" i="7"/>
  <c r="P42" i="7" s="1"/>
  <c r="P40" i="5" l="1"/>
  <c r="P41" i="5" s="1"/>
  <c r="P42" i="5" s="1"/>
  <c r="P50" i="7"/>
  <c r="P45" i="7"/>
  <c r="P67" i="7"/>
  <c r="P66" i="7"/>
  <c r="P52" i="6"/>
  <c r="P50" i="5" l="1"/>
  <c r="P66" i="5"/>
  <c r="P67" i="5"/>
  <c r="P45" i="5"/>
  <c r="P57" i="6"/>
  <c r="P52" i="7"/>
  <c r="P53" i="6"/>
  <c r="P56" i="6"/>
  <c r="P59" i="6" s="1"/>
  <c r="P57" i="7" l="1"/>
  <c r="P56" i="7"/>
  <c r="P59" i="7" s="1"/>
  <c r="P53" i="7"/>
  <c r="P60" i="6"/>
  <c r="P63" i="6" s="1"/>
  <c r="Q47" i="6"/>
  <c r="P54" i="6"/>
  <c r="P68" i="6" s="1"/>
  <c r="P58" i="6"/>
  <c r="P52" i="5"/>
  <c r="P53" i="5" s="1"/>
  <c r="P61" i="6"/>
  <c r="Q46" i="6" s="1"/>
  <c r="Q47" i="5" l="1"/>
  <c r="P54" i="5"/>
  <c r="P68" i="5" s="1"/>
  <c r="Q48" i="6"/>
  <c r="Q49" i="6" s="1"/>
  <c r="Q51" i="6"/>
  <c r="Q39" i="6"/>
  <c r="P60" i="7"/>
  <c r="P63" i="7" s="1"/>
  <c r="Q47" i="7"/>
  <c r="P54" i="7"/>
  <c r="P68" i="7" s="1"/>
  <c r="P58" i="7"/>
  <c r="P57" i="5"/>
  <c r="P72" i="6"/>
  <c r="P65" i="6"/>
  <c r="P56" i="5"/>
  <c r="P59" i="5" l="1"/>
  <c r="P61" i="7"/>
  <c r="Q46" i="7" s="1"/>
  <c r="Q51" i="7"/>
  <c r="Q39" i="7"/>
  <c r="Q48" i="7"/>
  <c r="Q49" i="7" s="1"/>
  <c r="Q40" i="6"/>
  <c r="Q41" i="6" s="1"/>
  <c r="Q42" i="6" s="1"/>
  <c r="P65" i="7"/>
  <c r="P72" i="7"/>
  <c r="P58" i="5"/>
  <c r="Q48" i="5"/>
  <c r="Q49" i="5" s="1"/>
  <c r="P60" i="5"/>
  <c r="P63" i="5" s="1"/>
  <c r="Q50" i="6" l="1"/>
  <c r="Q45" i="6"/>
  <c r="Q66" i="6"/>
  <c r="Q67" i="6"/>
  <c r="P65" i="5"/>
  <c r="P72" i="5"/>
  <c r="P61" i="5"/>
  <c r="Q46" i="5" s="1"/>
  <c r="Q51" i="5"/>
  <c r="Q39" i="5"/>
  <c r="Q40" i="7"/>
  <c r="Q41" i="7" s="1"/>
  <c r="Q42" i="7" s="1"/>
  <c r="Q50" i="7" l="1"/>
  <c r="Q67" i="7"/>
  <c r="Q66" i="7"/>
  <c r="Q45" i="7"/>
  <c r="Q40" i="5"/>
  <c r="Q41" i="5" s="1"/>
  <c r="Q42" i="5" s="1"/>
  <c r="Q52" i="6"/>
  <c r="Q56" i="6" s="1"/>
  <c r="Q50" i="5" l="1"/>
  <c r="Q45" i="5"/>
  <c r="Q67" i="5"/>
  <c r="Q66" i="5"/>
  <c r="Q57" i="6"/>
  <c r="Q58" i="6" s="1"/>
  <c r="Q53" i="6"/>
  <c r="Q52" i="7"/>
  <c r="R51" i="6" l="1"/>
  <c r="Q57" i="7"/>
  <c r="Q56" i="7"/>
  <c r="Q59" i="7" s="1"/>
  <c r="Q59" i="6"/>
  <c r="Q53" i="7"/>
  <c r="Q60" i="6"/>
  <c r="Q63" i="6" s="1"/>
  <c r="R47" i="6"/>
  <c r="Q54" i="6"/>
  <c r="Q68" i="6" s="1"/>
  <c r="Q52" i="5"/>
  <c r="Q57" i="5" l="1"/>
  <c r="Q60" i="7"/>
  <c r="Q63" i="7" s="1"/>
  <c r="R47" i="7"/>
  <c r="Q54" i="7"/>
  <c r="Q68" i="7" s="1"/>
  <c r="Q72" i="6"/>
  <c r="Q65" i="6"/>
  <c r="Q61" i="6"/>
  <c r="Q61" i="7"/>
  <c r="R46" i="7" s="1"/>
  <c r="Q58" i="7"/>
  <c r="Q53" i="5"/>
  <c r="R48" i="6"/>
  <c r="R49" i="6" s="1"/>
  <c r="Q56" i="5"/>
  <c r="Q59" i="5" s="1"/>
  <c r="R51" i="7" l="1"/>
  <c r="R39" i="7"/>
  <c r="R46" i="6"/>
  <c r="R39" i="6"/>
  <c r="R48" i="7"/>
  <c r="R49" i="7" s="1"/>
  <c r="Q72" i="7"/>
  <c r="Q65" i="7"/>
  <c r="Q58" i="5"/>
  <c r="Q60" i="5"/>
  <c r="Q63" i="5" s="1"/>
  <c r="R47" i="5"/>
  <c r="Q54" i="5"/>
  <c r="Q68" i="5" s="1"/>
  <c r="Q61" i="5" l="1"/>
  <c r="R46" i="5" s="1"/>
  <c r="R51" i="5"/>
  <c r="R39" i="5"/>
  <c r="R40" i="7"/>
  <c r="R41" i="7" s="1"/>
  <c r="R42" i="7" s="1"/>
  <c r="R40" i="6"/>
  <c r="R41" i="6" s="1"/>
  <c r="R42" i="6" s="1"/>
  <c r="R48" i="5"/>
  <c r="R49" i="5" s="1"/>
  <c r="Q65" i="5"/>
  <c r="Q72" i="5"/>
  <c r="R50" i="6" l="1"/>
  <c r="R45" i="6"/>
  <c r="R67" i="6"/>
  <c r="R66" i="6"/>
  <c r="D37" i="1" s="1"/>
  <c r="R50" i="7"/>
  <c r="R66" i="7"/>
  <c r="E37" i="1" s="1"/>
  <c r="R45" i="7"/>
  <c r="R67" i="7"/>
  <c r="R40" i="5"/>
  <c r="R41" i="5" s="1"/>
  <c r="R42" i="5" s="1"/>
  <c r="R50" i="5" l="1"/>
  <c r="R67" i="5"/>
  <c r="R66" i="5"/>
  <c r="C37" i="1" s="1"/>
  <c r="R45" i="5"/>
  <c r="R52" i="7"/>
  <c r="R56" i="7" s="1"/>
  <c r="D20" i="1"/>
  <c r="D21" i="1"/>
  <c r="R52" i="6"/>
  <c r="R53" i="6" s="1"/>
  <c r="E20" i="1"/>
  <c r="E21" i="1"/>
  <c r="R56" i="6"/>
  <c r="R57" i="7" l="1"/>
  <c r="R59" i="7" s="1"/>
  <c r="R53" i="7"/>
  <c r="R60" i="6"/>
  <c r="R63" i="6" s="1"/>
  <c r="S47" i="6"/>
  <c r="R54" i="6"/>
  <c r="R68" i="6" s="1"/>
  <c r="C20" i="1"/>
  <c r="C21" i="1"/>
  <c r="R52" i="5"/>
  <c r="R57" i="6"/>
  <c r="R59" i="6" s="1"/>
  <c r="R61" i="6" s="1"/>
  <c r="S46" i="6" s="1"/>
  <c r="R58" i="6"/>
  <c r="R72" i="6" l="1"/>
  <c r="R65" i="6"/>
  <c r="S48" i="6"/>
  <c r="S49" i="6" s="1"/>
  <c r="R57" i="5"/>
  <c r="R56" i="5"/>
  <c r="R59" i="5" s="1"/>
  <c r="R53" i="5"/>
  <c r="R60" i="7"/>
  <c r="R63" i="7" s="1"/>
  <c r="S47" i="7"/>
  <c r="R54" i="7"/>
  <c r="R68" i="7" s="1"/>
  <c r="S51" i="6"/>
  <c r="S39" i="6"/>
  <c r="R58" i="7"/>
  <c r="S48" i="7" l="1"/>
  <c r="S49" i="7"/>
  <c r="S51" i="7"/>
  <c r="S47" i="5"/>
  <c r="R60" i="5"/>
  <c r="R63" i="5" s="1"/>
  <c r="R54" i="5"/>
  <c r="R68" i="5" s="1"/>
  <c r="R72" i="7"/>
  <c r="R65" i="7"/>
  <c r="R58" i="5"/>
  <c r="S40" i="6"/>
  <c r="S41" i="6"/>
  <c r="S42" i="6" s="1"/>
  <c r="R61" i="7"/>
  <c r="S46" i="7" s="1"/>
  <c r="S50" i="6" l="1"/>
  <c r="S67" i="6"/>
  <c r="S48" i="5"/>
  <c r="S49" i="5" s="1"/>
  <c r="R61" i="5"/>
  <c r="S46" i="5" s="1"/>
  <c r="R65" i="5"/>
  <c r="R72" i="5"/>
  <c r="S39" i="7"/>
  <c r="S51" i="5"/>
  <c r="S40" i="7" l="1"/>
  <c r="S41" i="7" s="1"/>
  <c r="S42" i="7" s="1"/>
  <c r="S52" i="6"/>
  <c r="S53" i="6" s="1"/>
  <c r="S39" i="5"/>
  <c r="T47" i="6" l="1"/>
  <c r="S54" i="6"/>
  <c r="S68" i="6" s="1"/>
  <c r="S50" i="7"/>
  <c r="S67" i="7"/>
  <c r="S56" i="6"/>
  <c r="S59" i="6" s="1"/>
  <c r="S40" i="5"/>
  <c r="S41" i="5" s="1"/>
  <c r="S42" i="5" s="1"/>
  <c r="S57" i="6"/>
  <c r="S50" i="5" l="1"/>
  <c r="S67" i="5"/>
  <c r="S58" i="6"/>
  <c r="S52" i="7"/>
  <c r="S53" i="7" s="1"/>
  <c r="T48" i="6"/>
  <c r="T49" i="6"/>
  <c r="S56" i="7"/>
  <c r="S60" i="6"/>
  <c r="S63" i="6" s="1"/>
  <c r="T47" i="7" l="1"/>
  <c r="S54" i="7"/>
  <c r="S68" i="7" s="1"/>
  <c r="S65" i="6"/>
  <c r="S72" i="6"/>
  <c r="T51" i="6"/>
  <c r="S61" i="6"/>
  <c r="T46" i="6" s="1"/>
  <c r="S57" i="7"/>
  <c r="S59" i="7" s="1"/>
  <c r="S52" i="5"/>
  <c r="T39" i="6" l="1"/>
  <c r="S58" i="7"/>
  <c r="T40" i="6"/>
  <c r="T41" i="6"/>
  <c r="T42" i="6" s="1"/>
  <c r="T48" i="7"/>
  <c r="T49" i="7" s="1"/>
  <c r="T51" i="7"/>
  <c r="S57" i="5"/>
  <c r="S56" i="5"/>
  <c r="S59" i="5" s="1"/>
  <c r="S53" i="5"/>
  <c r="S60" i="7"/>
  <c r="S63" i="7" s="1"/>
  <c r="S61" i="7" l="1"/>
  <c r="S58" i="5"/>
  <c r="S72" i="7"/>
  <c r="S65" i="7"/>
  <c r="T50" i="6"/>
  <c r="T67" i="6"/>
  <c r="T47" i="5"/>
  <c r="S60" i="5"/>
  <c r="S63" i="5" s="1"/>
  <c r="S54" i="5"/>
  <c r="S68" i="5" s="1"/>
  <c r="T52" i="6" l="1"/>
  <c r="T51" i="5"/>
  <c r="S61" i="5"/>
  <c r="T46" i="5" s="1"/>
  <c r="S65" i="5"/>
  <c r="S72" i="5"/>
  <c r="T46" i="7"/>
  <c r="T39" i="7"/>
  <c r="T56" i="6"/>
  <c r="T48" i="5"/>
  <c r="T49" i="5" s="1"/>
  <c r="T39" i="5" l="1"/>
  <c r="T57" i="6"/>
  <c r="T59" i="6" s="1"/>
  <c r="T58" i="6"/>
  <c r="T53" i="6"/>
  <c r="T40" i="7"/>
  <c r="T41" i="7"/>
  <c r="T42" i="7" s="1"/>
  <c r="T50" i="7" l="1"/>
  <c r="T67" i="7"/>
  <c r="U51" i="6"/>
  <c r="T40" i="5"/>
  <c r="T41" i="5"/>
  <c r="T42" i="5" s="1"/>
  <c r="T60" i="6"/>
  <c r="T63" i="6" s="1"/>
  <c r="U47" i="6"/>
  <c r="T54" i="6"/>
  <c r="T68" i="6" s="1"/>
  <c r="U48" i="6" l="1"/>
  <c r="U49" i="6"/>
  <c r="T65" i="6"/>
  <c r="T72" i="6"/>
  <c r="T50" i="5"/>
  <c r="T67" i="5"/>
  <c r="T52" i="7"/>
  <c r="T53" i="7" s="1"/>
  <c r="T61" i="6"/>
  <c r="U47" i="7" l="1"/>
  <c r="T54" i="7"/>
  <c r="T68" i="7" s="1"/>
  <c r="T52" i="5"/>
  <c r="T53" i="5" s="1"/>
  <c r="U46" i="6"/>
  <c r="U39" i="6"/>
  <c r="T57" i="7"/>
  <c r="T56" i="7"/>
  <c r="U47" i="5" l="1"/>
  <c r="T54" i="5"/>
  <c r="T68" i="5" s="1"/>
  <c r="T56" i="5"/>
  <c r="T57" i="5"/>
  <c r="U48" i="7"/>
  <c r="U49" i="7"/>
  <c r="U40" i="6"/>
  <c r="U41" i="6"/>
  <c r="U42" i="6" s="1"/>
  <c r="T59" i="7"/>
  <c r="T58" i="7"/>
  <c r="T58" i="5" l="1"/>
  <c r="U51" i="5"/>
  <c r="T60" i="7"/>
  <c r="T63" i="7" s="1"/>
  <c r="U51" i="7"/>
  <c r="U50" i="6"/>
  <c r="U67" i="6"/>
  <c r="T59" i="5"/>
  <c r="U48" i="5"/>
  <c r="U49" i="5" s="1"/>
  <c r="T72" i="7" l="1"/>
  <c r="T65" i="7"/>
  <c r="U52" i="6"/>
  <c r="T61" i="7"/>
  <c r="T60" i="5"/>
  <c r="T63" i="5" s="1"/>
  <c r="T61" i="5" l="1"/>
  <c r="U46" i="7"/>
  <c r="U39" i="7"/>
  <c r="U46" i="5"/>
  <c r="U39" i="5"/>
  <c r="U57" i="6"/>
  <c r="U56" i="6"/>
  <c r="U59" i="6" s="1"/>
  <c r="U53" i="6"/>
  <c r="T65" i="5"/>
  <c r="T72" i="5"/>
  <c r="U40" i="7" l="1"/>
  <c r="U41" i="7"/>
  <c r="U42" i="7" s="1"/>
  <c r="U60" i="6"/>
  <c r="U63" i="6" s="1"/>
  <c r="V47" i="6"/>
  <c r="U54" i="6"/>
  <c r="U68" i="6" s="1"/>
  <c r="U58" i="6"/>
  <c r="U40" i="5"/>
  <c r="U41" i="5" s="1"/>
  <c r="U42" i="5" s="1"/>
  <c r="U50" i="5" l="1"/>
  <c r="U67" i="5"/>
  <c r="V51" i="6"/>
  <c r="U65" i="6"/>
  <c r="U72" i="6"/>
  <c r="U50" i="7"/>
  <c r="U67" i="7"/>
  <c r="V48" i="6"/>
  <c r="V49" i="6"/>
  <c r="U61" i="6"/>
  <c r="V46" i="6" s="1"/>
  <c r="V39" i="6" l="1"/>
  <c r="U52" i="7"/>
  <c r="V40" i="6"/>
  <c r="V41" i="6" s="1"/>
  <c r="V42" i="6" s="1"/>
  <c r="U52" i="5"/>
  <c r="V50" i="6" l="1"/>
  <c r="V67" i="6"/>
  <c r="U57" i="5"/>
  <c r="U56" i="5"/>
  <c r="U59" i="5" s="1"/>
  <c r="U53" i="5"/>
  <c r="U57" i="7"/>
  <c r="U56" i="7"/>
  <c r="U59" i="7" s="1"/>
  <c r="U53" i="7"/>
  <c r="U60" i="7" l="1"/>
  <c r="U63" i="7" s="1"/>
  <c r="V47" i="7"/>
  <c r="U54" i="7"/>
  <c r="U68" i="7" s="1"/>
  <c r="V47" i="5"/>
  <c r="U60" i="5"/>
  <c r="U63" i="5" s="1"/>
  <c r="U54" i="5"/>
  <c r="U68" i="5" s="1"/>
  <c r="U58" i="5"/>
  <c r="V52" i="6"/>
  <c r="U58" i="7"/>
  <c r="U61" i="7" l="1"/>
  <c r="V46" i="7" s="1"/>
  <c r="U72" i="5"/>
  <c r="U65" i="5"/>
  <c r="V57" i="6"/>
  <c r="V56" i="6"/>
  <c r="V59" i="6" s="1"/>
  <c r="V53" i="6"/>
  <c r="V48" i="5"/>
  <c r="V49" i="5" s="1"/>
  <c r="V48" i="7"/>
  <c r="V49" i="7" s="1"/>
  <c r="V51" i="7"/>
  <c r="V39" i="7"/>
  <c r="V51" i="5"/>
  <c r="U61" i="5"/>
  <c r="V46" i="5" s="1"/>
  <c r="U65" i="7"/>
  <c r="U72" i="7"/>
  <c r="W47" i="6" l="1"/>
  <c r="V60" i="6"/>
  <c r="V63" i="6" s="1"/>
  <c r="V54" i="6"/>
  <c r="V68" i="6" s="1"/>
  <c r="V58" i="6"/>
  <c r="V39" i="5"/>
  <c r="V40" i="7"/>
  <c r="V41" i="7"/>
  <c r="V42" i="7" s="1"/>
  <c r="V61" i="6" l="1"/>
  <c r="W46" i="6" s="1"/>
  <c r="V40" i="5"/>
  <c r="V41" i="5" s="1"/>
  <c r="V42" i="5" s="1"/>
  <c r="W51" i="6"/>
  <c r="W39" i="6"/>
  <c r="V65" i="6"/>
  <c r="V72" i="6"/>
  <c r="V50" i="7"/>
  <c r="V67" i="7"/>
  <c r="W48" i="6"/>
  <c r="W49" i="6" s="1"/>
  <c r="V50" i="5" l="1"/>
  <c r="V67" i="5"/>
  <c r="V52" i="7"/>
  <c r="W40" i="6"/>
  <c r="W41" i="6" s="1"/>
  <c r="W42" i="6" s="1"/>
  <c r="V56" i="7"/>
  <c r="W50" i="6" l="1"/>
  <c r="W67" i="6"/>
  <c r="V57" i="7"/>
  <c r="V59" i="7" s="1"/>
  <c r="V53" i="7"/>
  <c r="V52" i="5"/>
  <c r="V53" i="5"/>
  <c r="V56" i="5"/>
  <c r="V58" i="7" l="1"/>
  <c r="V57" i="5"/>
  <c r="V59" i="5" s="1"/>
  <c r="W52" i="6"/>
  <c r="W56" i="6" s="1"/>
  <c r="W47" i="5"/>
  <c r="V54" i="5"/>
  <c r="V68" i="5" s="1"/>
  <c r="V60" i="7"/>
  <c r="V63" i="7" s="1"/>
  <c r="W47" i="7"/>
  <c r="V54" i="7"/>
  <c r="V68" i="7" s="1"/>
  <c r="V60" i="5" l="1"/>
  <c r="V63" i="5" s="1"/>
  <c r="V65" i="7"/>
  <c r="V72" i="7"/>
  <c r="W53" i="6"/>
  <c r="W48" i="5"/>
  <c r="W49" i="5" s="1"/>
  <c r="V58" i="5"/>
  <c r="W51" i="7"/>
  <c r="W48" i="7"/>
  <c r="W49" i="7" s="1"/>
  <c r="W57" i="6"/>
  <c r="W58" i="6" s="1"/>
  <c r="V61" i="7"/>
  <c r="W46" i="7" s="1"/>
  <c r="X51" i="6" l="1"/>
  <c r="W51" i="5"/>
  <c r="X47" i="6"/>
  <c r="W54" i="6"/>
  <c r="W68" i="6" s="1"/>
  <c r="V72" i="5"/>
  <c r="V65" i="5"/>
  <c r="W39" i="7"/>
  <c r="W59" i="6"/>
  <c r="W60" i="6" s="1"/>
  <c r="W63" i="6" s="1"/>
  <c r="V61" i="5"/>
  <c r="W46" i="5" s="1"/>
  <c r="W39" i="5" l="1"/>
  <c r="X48" i="6"/>
  <c r="X49" i="6" s="1"/>
  <c r="W40" i="5"/>
  <c r="W41" i="5" s="1"/>
  <c r="W42" i="5" s="1"/>
  <c r="W65" i="6"/>
  <c r="W72" i="6"/>
  <c r="W40" i="7"/>
  <c r="W41" i="7" s="1"/>
  <c r="W42" i="7" s="1"/>
  <c r="W61" i="6"/>
  <c r="W50" i="5" l="1"/>
  <c r="W67" i="5"/>
  <c r="W50" i="7"/>
  <c r="W67" i="7"/>
  <c r="X46" i="6"/>
  <c r="X39" i="6"/>
  <c r="X40" i="6" l="1"/>
  <c r="X41" i="6"/>
  <c r="X42" i="6" s="1"/>
  <c r="W52" i="7"/>
  <c r="W52" i="5"/>
  <c r="W57" i="7" l="1"/>
  <c r="W57" i="5"/>
  <c r="W56" i="5"/>
  <c r="W59" i="5" s="1"/>
  <c r="W53" i="7"/>
  <c r="W53" i="5"/>
  <c r="X50" i="6"/>
  <c r="X67" i="6"/>
  <c r="W56" i="7"/>
  <c r="W59" i="7" s="1"/>
  <c r="X52" i="6" l="1"/>
  <c r="W60" i="7"/>
  <c r="W63" i="7" s="1"/>
  <c r="X47" i="7"/>
  <c r="W54" i="7"/>
  <c r="W68" i="7" s="1"/>
  <c r="W60" i="5"/>
  <c r="W63" i="5" s="1"/>
  <c r="X47" i="5"/>
  <c r="W54" i="5"/>
  <c r="W68" i="5" s="1"/>
  <c r="W61" i="7"/>
  <c r="X46" i="7" s="1"/>
  <c r="X56" i="6"/>
  <c r="W61" i="5"/>
  <c r="X46" i="5" s="1"/>
  <c r="W58" i="5"/>
  <c r="W58" i="7"/>
  <c r="X48" i="5" l="1"/>
  <c r="X49" i="5" s="1"/>
  <c r="W65" i="7"/>
  <c r="W72" i="7"/>
  <c r="X51" i="7"/>
  <c r="X39" i="7"/>
  <c r="X57" i="6"/>
  <c r="X59" i="6" s="1"/>
  <c r="W72" i="5"/>
  <c r="W65" i="5"/>
  <c r="X48" i="7"/>
  <c r="X49" i="7" s="1"/>
  <c r="X51" i="5"/>
  <c r="X39" i="5"/>
  <c r="X53" i="6"/>
  <c r="X40" i="7" l="1"/>
  <c r="X41" i="7" s="1"/>
  <c r="X42" i="7" s="1"/>
  <c r="X58" i="6"/>
  <c r="X60" i="6"/>
  <c r="X63" i="6" s="1"/>
  <c r="Y47" i="6"/>
  <c r="X54" i="6"/>
  <c r="X68" i="6" s="1"/>
  <c r="X40" i="5"/>
  <c r="X41" i="5"/>
  <c r="X42" i="5" s="1"/>
  <c r="X50" i="7" l="1"/>
  <c r="X67" i="7"/>
  <c r="Y48" i="6"/>
  <c r="Y49" i="6" s="1"/>
  <c r="Y51" i="6"/>
  <c r="X61" i="6"/>
  <c r="Y46" i="6" s="1"/>
  <c r="X65" i="6"/>
  <c r="X72" i="6"/>
  <c r="X50" i="5"/>
  <c r="X67" i="5"/>
  <c r="Y39" i="6" l="1"/>
  <c r="X52" i="7"/>
  <c r="X52" i="5"/>
  <c r="X53" i="5" s="1"/>
  <c r="Y47" i="5" l="1"/>
  <c r="X54" i="5"/>
  <c r="X68" i="5" s="1"/>
  <c r="X57" i="7"/>
  <c r="X56" i="7"/>
  <c r="X53" i="7"/>
  <c r="Y40" i="6"/>
  <c r="Y41" i="6" s="1"/>
  <c r="Y42" i="6" s="1"/>
  <c r="X57" i="5"/>
  <c r="X56" i="5"/>
  <c r="X59" i="5" s="1"/>
  <c r="X59" i="7" l="1"/>
  <c r="Y50" i="6"/>
  <c r="Y67" i="6"/>
  <c r="X58" i="5"/>
  <c r="Y48" i="5"/>
  <c r="Y49" i="5" s="1"/>
  <c r="X60" i="7"/>
  <c r="X63" i="7" s="1"/>
  <c r="Y47" i="7"/>
  <c r="X54" i="7"/>
  <c r="X68" i="7" s="1"/>
  <c r="X58" i="7"/>
  <c r="X60" i="5"/>
  <c r="X63" i="5" s="1"/>
  <c r="X61" i="5" l="1"/>
  <c r="Y46" i="5" s="1"/>
  <c r="X61" i="7"/>
  <c r="Y46" i="7" s="1"/>
  <c r="Y48" i="7"/>
  <c r="Y49" i="7"/>
  <c r="X65" i="7"/>
  <c r="X72" i="7"/>
  <c r="Y52" i="6"/>
  <c r="Y53" i="6" s="1"/>
  <c r="Y51" i="5"/>
  <c r="Y39" i="5"/>
  <c r="X72" i="5"/>
  <c r="X65" i="5"/>
  <c r="Y51" i="7"/>
  <c r="Y39" i="7" l="1"/>
  <c r="Z47" i="6"/>
  <c r="Y54" i="6"/>
  <c r="Y68" i="6" s="1"/>
  <c r="Y57" i="6"/>
  <c r="Y56" i="6"/>
  <c r="Y59" i="6" s="1"/>
  <c r="Y40" i="7"/>
  <c r="Y41" i="7" s="1"/>
  <c r="Y42" i="7" s="1"/>
  <c r="Y40" i="5"/>
  <c r="Y41" i="5" s="1"/>
  <c r="Y42" i="5" s="1"/>
  <c r="Y50" i="7" l="1"/>
  <c r="Y67" i="7"/>
  <c r="Y50" i="5"/>
  <c r="Y67" i="5"/>
  <c r="Y58" i="6"/>
  <c r="Z48" i="6"/>
  <c r="Z49" i="6" s="1"/>
  <c r="Y60" i="6"/>
  <c r="Y63" i="6" s="1"/>
  <c r="Y61" i="6" l="1"/>
  <c r="Z46" i="6" s="1"/>
  <c r="Z51" i="6"/>
  <c r="Z39" i="6"/>
  <c r="Y52" i="5"/>
  <c r="Y53" i="5" s="1"/>
  <c r="Y52" i="7"/>
  <c r="Y53" i="7" s="1"/>
  <c r="Y65" i="6"/>
  <c r="Y72" i="6"/>
  <c r="Z47" i="7" l="1"/>
  <c r="Y54" i="7"/>
  <c r="Y68" i="7" s="1"/>
  <c r="Z47" i="5"/>
  <c r="Y54" i="5"/>
  <c r="Y68" i="5" s="1"/>
  <c r="Y57" i="7"/>
  <c r="Y57" i="5"/>
  <c r="Y58" i="5"/>
  <c r="Z40" i="6"/>
  <c r="Z41" i="6" s="1"/>
  <c r="Z42" i="6" s="1"/>
  <c r="Y56" i="5"/>
  <c r="Y56" i="7"/>
  <c r="Y58" i="7" l="1"/>
  <c r="Z50" i="6"/>
  <c r="Z67" i="6"/>
  <c r="Z51" i="7"/>
  <c r="Z51" i="5"/>
  <c r="Z48" i="5"/>
  <c r="Z49" i="5" s="1"/>
  <c r="Y59" i="5"/>
  <c r="Z48" i="7"/>
  <c r="Z49" i="7" s="1"/>
  <c r="Y59" i="7"/>
  <c r="Y60" i="7" l="1"/>
  <c r="Y63" i="7" s="1"/>
  <c r="Y60" i="5"/>
  <c r="Y63" i="5" s="1"/>
  <c r="Z52" i="6"/>
  <c r="Y72" i="5" l="1"/>
  <c r="Y65" i="5"/>
  <c r="Y61" i="7"/>
  <c r="Y61" i="5"/>
  <c r="Y65" i="7"/>
  <c r="Y72" i="7"/>
  <c r="Z57" i="6"/>
  <c r="Z56" i="6"/>
  <c r="Z59" i="6" s="1"/>
  <c r="Z53" i="6"/>
  <c r="Z60" i="6" l="1"/>
  <c r="Z63" i="6" s="1"/>
  <c r="AA47" i="6"/>
  <c r="Z54" i="6"/>
  <c r="Z68" i="6" s="1"/>
  <c r="Z61" i="6"/>
  <c r="AA46" i="6" s="1"/>
  <c r="Z46" i="5"/>
  <c r="Z39" i="5"/>
  <c r="Z58" i="6"/>
  <c r="Z46" i="7"/>
  <c r="Z39" i="7"/>
  <c r="Z40" i="7" l="1"/>
  <c r="Z41" i="7" s="1"/>
  <c r="Z42" i="7" s="1"/>
  <c r="AA51" i="6"/>
  <c r="AA39" i="6"/>
  <c r="AA48" i="6"/>
  <c r="AA49" i="6"/>
  <c r="Z40" i="5"/>
  <c r="Z41" i="5" s="1"/>
  <c r="Z42" i="5" s="1"/>
  <c r="Z72" i="6"/>
  <c r="Z65" i="6"/>
  <c r="Z50" i="5" l="1"/>
  <c r="Z67" i="5"/>
  <c r="Z50" i="7"/>
  <c r="Z67" i="7"/>
  <c r="AA40" i="6"/>
  <c r="AA41" i="6"/>
  <c r="AA42" i="6" s="1"/>
  <c r="Z52" i="5" l="1"/>
  <c r="Z53" i="5"/>
  <c r="AA50" i="6"/>
  <c r="AA67" i="6"/>
  <c r="Z56" i="5"/>
  <c r="Z52" i="7"/>
  <c r="Z53" i="7" s="1"/>
  <c r="AA47" i="7" l="1"/>
  <c r="Z54" i="7"/>
  <c r="Z68" i="7" s="1"/>
  <c r="AA52" i="6"/>
  <c r="AA47" i="5"/>
  <c r="Z54" i="5"/>
  <c r="Z68" i="5" s="1"/>
  <c r="Z57" i="7"/>
  <c r="AA56" i="6"/>
  <c r="Z57" i="5"/>
  <c r="Z59" i="5" s="1"/>
  <c r="Z60" i="5" s="1"/>
  <c r="Z63" i="5" s="1"/>
  <c r="Z56" i="7"/>
  <c r="Z58" i="7" l="1"/>
  <c r="AA51" i="7"/>
  <c r="AA57" i="6"/>
  <c r="AA59" i="6" s="1"/>
  <c r="Z72" i="5"/>
  <c r="Z65" i="5"/>
  <c r="Z59" i="7"/>
  <c r="AA48" i="7"/>
  <c r="AA49" i="7" s="1"/>
  <c r="AA48" i="5"/>
  <c r="AA49" i="5" s="1"/>
  <c r="AA53" i="6"/>
  <c r="Z61" i="5"/>
  <c r="AA46" i="5" s="1"/>
  <c r="Z58" i="5"/>
  <c r="Z60" i="7" l="1"/>
  <c r="Z63" i="7" s="1"/>
  <c r="AA51" i="5"/>
  <c r="AA39" i="5"/>
  <c r="AA58" i="6"/>
  <c r="AA60" i="6"/>
  <c r="AA63" i="6" s="1"/>
  <c r="AB47" i="6"/>
  <c r="AA54" i="6"/>
  <c r="AA68" i="6" s="1"/>
  <c r="AB51" i="6" l="1"/>
  <c r="Z61" i="7"/>
  <c r="AA40" i="5"/>
  <c r="AA41" i="5" s="1"/>
  <c r="AA42" i="5" s="1"/>
  <c r="Z65" i="7"/>
  <c r="Z72" i="7"/>
  <c r="AB48" i="6"/>
  <c r="D24" i="1" s="1"/>
  <c r="AA72" i="6"/>
  <c r="AA65" i="6"/>
  <c r="AA61" i="6"/>
  <c r="AB46" i="6" s="1"/>
  <c r="AB39" i="6" l="1"/>
  <c r="AA50" i="5"/>
  <c r="AA67" i="5"/>
  <c r="AB40" i="6"/>
  <c r="AB41" i="6"/>
  <c r="AB42" i="6" s="1"/>
  <c r="AB49" i="6"/>
  <c r="AA46" i="7"/>
  <c r="AA39" i="7"/>
  <c r="AA40" i="7" l="1"/>
  <c r="AA41" i="7"/>
  <c r="AA42" i="7" s="1"/>
  <c r="AB50" i="6"/>
  <c r="AB67" i="6"/>
  <c r="AB52" i="6"/>
  <c r="AA53" i="5"/>
  <c r="AA52" i="5"/>
  <c r="AA56" i="5"/>
  <c r="AB47" i="5" l="1"/>
  <c r="AA54" i="5"/>
  <c r="AA68" i="5" s="1"/>
  <c r="D35" i="1"/>
  <c r="D36" i="1"/>
  <c r="AB56" i="6"/>
  <c r="AA50" i="7"/>
  <c r="AA67" i="7"/>
  <c r="AA57" i="5"/>
  <c r="AA59" i="5" s="1"/>
  <c r="D27" i="1"/>
  <c r="AB57" i="6"/>
  <c r="AB53" i="6"/>
  <c r="AB59" i="6" l="1"/>
  <c r="AA60" i="5"/>
  <c r="AA63" i="5" s="1"/>
  <c r="AB58" i="6"/>
  <c r="AB48" i="5"/>
  <c r="C24" i="1" s="1"/>
  <c r="AB49" i="5"/>
  <c r="AA52" i="7"/>
  <c r="AB60" i="6"/>
  <c r="D23" i="1"/>
  <c r="AB54" i="6"/>
  <c r="AA58" i="5"/>
  <c r="AB68" i="6" l="1"/>
  <c r="D26" i="1" s="1"/>
  <c r="D22" i="1"/>
  <c r="AA57" i="7"/>
  <c r="AA56" i="7"/>
  <c r="AA59" i="7" s="1"/>
  <c r="AB51" i="5"/>
  <c r="AA53" i="7"/>
  <c r="AA65" i="5"/>
  <c r="AA72" i="5"/>
  <c r="AB61" i="6"/>
  <c r="AB63" i="6" s="1"/>
  <c r="AA61" i="5"/>
  <c r="AB46" i="5" s="1"/>
  <c r="AB39" i="5" l="1"/>
  <c r="AB72" i="6"/>
  <c r="D32" i="1" s="1"/>
  <c r="AB65" i="6"/>
  <c r="D30" i="1" s="1"/>
  <c r="D38" i="1"/>
  <c r="AB40" i="5"/>
  <c r="AB41" i="5"/>
  <c r="AB42" i="5" s="1"/>
  <c r="AA58" i="7"/>
  <c r="AA60" i="7"/>
  <c r="AA63" i="7" s="1"/>
  <c r="AB47" i="7"/>
  <c r="AA54" i="7"/>
  <c r="AA68" i="7" s="1"/>
  <c r="AA61" i="7"/>
  <c r="AB46" i="7" s="1"/>
  <c r="AB48" i="7" l="1"/>
  <c r="E24" i="1" s="1"/>
  <c r="AB49" i="7"/>
  <c r="AB50" i="5"/>
  <c r="AB67" i="5"/>
  <c r="AA65" i="7"/>
  <c r="AA72" i="7"/>
  <c r="AB51" i="7"/>
  <c r="AB39" i="7"/>
  <c r="AB40" i="7" l="1"/>
  <c r="AB41" i="7" s="1"/>
  <c r="AB42" i="7" s="1"/>
  <c r="C35" i="1"/>
  <c r="C36" i="1"/>
  <c r="AB52" i="5"/>
  <c r="AB53" i="5"/>
  <c r="AB50" i="7" l="1"/>
  <c r="AB67" i="7"/>
  <c r="C23" i="1"/>
  <c r="C50" i="1"/>
  <c r="AB54" i="5"/>
  <c r="C27" i="1"/>
  <c r="AB57" i="5"/>
  <c r="AB56" i="5"/>
  <c r="AB59" i="5" s="1"/>
  <c r="AB68" i="5" l="1"/>
  <c r="C26" i="1" s="1"/>
  <c r="C22" i="1"/>
  <c r="AB58" i="5"/>
  <c r="AB60" i="5"/>
  <c r="E35" i="1"/>
  <c r="E36" i="1"/>
  <c r="AB52" i="7"/>
  <c r="AB53" i="7" s="1"/>
  <c r="E23" i="1" l="1"/>
  <c r="AB54" i="7"/>
  <c r="E27" i="1"/>
  <c r="AB57" i="7"/>
  <c r="AB56" i="7"/>
  <c r="AB59" i="7" s="1"/>
  <c r="AB61" i="5"/>
  <c r="AB63" i="5" s="1"/>
  <c r="AB65" i="5" l="1"/>
  <c r="C30" i="1" s="1"/>
  <c r="AB72" i="5"/>
  <c r="C32" i="1" s="1"/>
  <c r="C38" i="1"/>
  <c r="AB58" i="7"/>
  <c r="AB68" i="7"/>
  <c r="E26" i="1" s="1"/>
  <c r="E22" i="1"/>
  <c r="AB60" i="7"/>
  <c r="AB61" i="7" l="1"/>
  <c r="AB63" i="7" s="1"/>
  <c r="AB65" i="7" l="1"/>
  <c r="E30" i="1" s="1"/>
  <c r="AB72" i="7"/>
  <c r="E32" i="1" s="1"/>
  <c r="E38" i="1"/>
</calcChain>
</file>

<file path=xl/sharedStrings.xml><?xml version="1.0" encoding="utf-8"?>
<sst xmlns="http://schemas.openxmlformats.org/spreadsheetml/2006/main" count="963" uniqueCount="412">
  <si>
    <t>LHoFT x STOKR solar bond: model summary</t>
  </si>
  <si>
    <t>FICTIONAL company and site; real Luxembourg market inputs where labelled SOURCED. Not investment or legal advice. Change yellow cells on Inputs; everything recalculates.</t>
  </si>
  <si>
    <t>Bond</t>
  </si>
  <si>
    <t>Bond amount used</t>
  </si>
  <si>
    <t>Coupon</t>
  </si>
  <si>
    <t>Tenor (years)</t>
  </si>
  <si>
    <t>Repayment profile</t>
  </si>
  <si>
    <t>Sized on</t>
  </si>
  <si>
    <t>Total uses</t>
  </si>
  <si>
    <t>Sponsor equity</t>
  </si>
  <si>
    <t>Gearing (bond / total uses)</t>
  </si>
  <si>
    <t>Debt capacity if sized on Case A (annuity, target DSCR)</t>
  </si>
  <si>
    <t>Debt capacity if sized on Case B (annuity, target DSCR)</t>
  </si>
  <si>
    <t>Scenario results</t>
  </si>
  <si>
    <t>Case A</t>
  </si>
  <si>
    <t>Case B</t>
  </si>
  <si>
    <t>Downside</t>
  </si>
  <si>
    <t>Year-1 revenue</t>
  </si>
  <si>
    <t>Year-1 CFADS</t>
  </si>
  <si>
    <t>Year-1 DSCR</t>
  </si>
  <si>
    <t>Minimum DSCR over bond life</t>
  </si>
  <si>
    <t>Average DSCR over bond life</t>
  </si>
  <si>
    <t>Scheduled debt service not paid when due (EUR)</t>
  </si>
  <si>
    <t>Owed to bondholders and unpaid at end of model, incl. default interest (EUR)</t>
  </si>
  <si>
    <t>Default interest on arrears, total (EUR)</t>
  </si>
  <si>
    <t>Net wealth tax, year 1 (EUR)</t>
  </si>
  <si>
    <t>First year with a missed payment</t>
  </si>
  <si>
    <t>DSRA drawn in total (EUR)</t>
  </si>
  <si>
    <t>Project IRR, unlevered (25 years)</t>
  </si>
  <si>
    <t>Hosts' power savings, year 1 (EUR)</t>
  </si>
  <si>
    <t>Sponsor IRR incl. power savings before host tax (25 years, reference only)</t>
  </si>
  <si>
    <t>Hosts' power savings after tax, year 1 (EUR)</t>
  </si>
  <si>
    <t>Sponsor IRR incl. after-tax power savings (25 years)</t>
  </si>
  <si>
    <t>Owner IRR unlevered, project cash + after-tax savings (25 years)</t>
  </si>
  <si>
    <t>Owner simple payback on capex, project cash + after-tax savings (years)</t>
  </si>
  <si>
    <t>First year owners are locked out (cover below lock-up)</t>
  </si>
  <si>
    <t>Years with owners locked out</t>
  </si>
  <si>
    <t>Operating cash shortfall vs debt service, total (EUR)</t>
  </si>
  <si>
    <t>Equity IRR (25 years)</t>
  </si>
  <si>
    <t>EUR 2M test: annuity bond of the fixed amount on Inputs</t>
  </si>
  <si>
    <t>Annual debt service</t>
  </si>
  <si>
    <t>Year-1 DSCR (sizing CFADS)</t>
  </si>
  <si>
    <t>Minimum DSCR over tenor (sizing CFADS)</t>
  </si>
  <si>
    <t>Checks</t>
  </si>
  <si>
    <t>Sources = uses</t>
  </si>
  <si>
    <t>Bond repaid by maturity</t>
  </si>
  <si>
    <t>Premium and investment aid not both on</t>
  </si>
  <si>
    <t>Tenor within model horizon</t>
  </si>
  <si>
    <t>Case A and Case B: no arrears left at end of model</t>
  </si>
  <si>
    <t>Factsheet figures (per bond token)</t>
  </si>
  <si>
    <t>Principal per token (EUR)</t>
  </si>
  <si>
    <t>Number of tokens</t>
  </si>
  <si>
    <t>Payment per token, year 1 (interest + principal, EUR)</t>
  </si>
  <si>
    <t>of which interest, year 1 (EUR)</t>
  </si>
  <si>
    <t>of which principal, year 1 (EUR)</t>
  </si>
  <si>
    <t>Total paid per token over the bond life if all paid (EUR)</t>
  </si>
  <si>
    <t>Debt service reserve at closing (EUR)</t>
  </si>
  <si>
    <t>Debt service reserve in months of payments</t>
  </si>
  <si>
    <t>Issuance costs as % of bond</t>
  </si>
  <si>
    <t>Inputs: every hardcoded number in the model</t>
  </si>
  <si>
    <t>Blue = input. Yellow = decision lever (Manuel). Labels: SOURCED (real, cited), DERIVED (computed from sourced data), ASSUMPTION (our estimate), FICTIONAL (invented setting). Full sources in research/ notes. Prepared 2026-10-11.</t>
  </si>
  <si>
    <t>Key</t>
  </si>
  <si>
    <t>Input</t>
  </si>
  <si>
    <t>Value</t>
  </si>
  <si>
    <t>Unit</t>
  </si>
  <si>
    <t>Label</t>
  </si>
  <si>
    <t>Source</t>
  </si>
  <si>
    <t>Source date</t>
  </si>
  <si>
    <t>Confidence</t>
  </si>
  <si>
    <t>Plant and yield</t>
  </si>
  <si>
    <t>kwp</t>
  </si>
  <si>
    <t>Plant size per rooftop</t>
  </si>
  <si>
    <t>kWp</t>
  </si>
  <si>
    <t>FICTIONAL</t>
  </si>
  <si>
    <t>Locked range 2.5-3 MWp per site (Manuel, 2026-10-11). Raised from 2,750 to 3,000 on 2026-10-14 (Manuel) so the EUR 2M bond survives both hosts leaving without the reserve once negative-price loss (15%) and net wealth tax are in: a design choice for a fictional site, not an evidence input</t>
  </si>
  <si>
    <t>2026-10-14</t>
  </si>
  <si>
    <t>n/a</t>
  </si>
  <si>
    <t>n_roofs</t>
  </si>
  <si>
    <t>Number of rooftops in the programme (one bond)</t>
  </si>
  <si>
    <t>count</t>
  </si>
  <si>
    <t>Decision D1: EUR 2M programme across 2 rooftops (Manuel, 2026-10-11)</t>
  </si>
  <si>
    <t>2026-10-11</t>
  </si>
  <si>
    <t>yield</t>
  </si>
  <si>
    <t>Specific yield P50, year 1</t>
  </si>
  <si>
    <t>kWh/kWp/yr</t>
  </si>
  <si>
    <t>SOURCED</t>
  </si>
  <si>
    <t>PVGIS v5.2 API re-run, 49.50N 6.11E, 10 deg, 14% loss (research/r4-lux-solar-inputs.md)</t>
  </si>
  <si>
    <t>high</t>
  </si>
  <si>
    <t>yield_sd</t>
  </si>
  <si>
    <t>Interannual yield SD</t>
  </si>
  <si>
    <t>kWh/kWp</t>
  </si>
  <si>
    <t>PVGIS seriescalc 2005-2020 (research/r4-lux-solar-inputs.md)</t>
  </si>
  <si>
    <t>avail</t>
  </si>
  <si>
    <t>Availability</t>
  </si>
  <si>
    <t>%</t>
  </si>
  <si>
    <t>ASSUMPTION</t>
  </si>
  <si>
    <t>No source; typical 98-99.5% (research/r4-lux-solar-inputs.md)</t>
  </si>
  <si>
    <t>speculation</t>
  </si>
  <si>
    <t>deg</t>
  </si>
  <si>
    <t>Module degradation</t>
  </si>
  <si>
    <t>%/yr</t>
  </si>
  <si>
    <t>ZSW and ISE use 0.25%; 0.4% lender-conservative (research/r4-lux-solar-inputs.md)</t>
  </si>
  <si>
    <t>2025-10</t>
  </si>
  <si>
    <t>medium</t>
  </si>
  <si>
    <t>life</t>
  </si>
  <si>
    <t>Plant life modelled</t>
  </si>
  <si>
    <t>years</t>
  </si>
  <si>
    <t>Model horizon; columns run to year 25</t>
  </si>
  <si>
    <t>capex</t>
  </si>
  <si>
    <t>Capex all-in</t>
  </si>
  <si>
    <t>EUR/kWp</t>
  </si>
  <si>
    <t>DERIVED</t>
  </si>
  <si>
    <t>ZSW for BMWK 660-720 EPC for 1.5-3 MW + Lux premium, development, grid connection, contingency (research/r4-lux-solar-inputs.md)</t>
  </si>
  <si>
    <t>Revenue</t>
  </si>
  <si>
    <t>host_share</t>
  </si>
  <si>
    <t>Host share of output (Case A)</t>
  </si>
  <si>
    <t>Locked decision (Manuel, 2026-10-11)</t>
  </si>
  <si>
    <t>ppa</t>
  </si>
  <si>
    <t>On-site PPA price, year 1</t>
  </si>
  <si>
    <t>EUR/MWh</t>
  </si>
  <si>
    <t>Manuel 2026-10-11: set as a ~24% discount to the 2025 band ID cost EUR 145/MWh; against the H1 2026 price EUR 121.9 the discount is ~10% (research/r4-lux-solar-inputs.md; research/r5-feasibility.md)</t>
  </si>
  <si>
    <t>2026-10-05</t>
  </si>
  <si>
    <t>host_cost</t>
  </si>
  <si>
    <t>Host avoided grid cost, year 1 (savings basis; affects savings rows only, not cover)</t>
  </si>
  <si>
    <t>Eurostat nrg_pc_205, LU band ID 2,000-19,999 MWh, total excl. VAT, 2026-S1 = 0.1219 EUR/kWh (updated 2026-10-09). Central case per T1 decision 2026-10-13 (research/r5-feasibility.md); range 115-145 in feasibility_facts.json. Was 145 (2025 energy 108 + network 37). Electricity tax is still due on on-site sale, so this slightly overstates the avoided cost (R4: ~115-125)</t>
  </si>
  <si>
    <t>2026-10-09</t>
  </si>
  <si>
    <t>high (price) / medium (as avoided cost)</t>
  </si>
  <si>
    <t>host_cost_esc</t>
  </si>
  <si>
    <t>Host avoidable cost escalation</t>
  </si>
  <si>
    <t>Same as PPA indexation</t>
  </si>
  <si>
    <t>ppa_idx</t>
  </si>
  <si>
    <t>PPA indexation</t>
  </si>
  <si>
    <t>No source (research/r4-lux-solar-inputs.md)</t>
  </si>
  <si>
    <t>ppa_tenor</t>
  </si>
  <si>
    <t>PPA tenor</t>
  </si>
  <si>
    <t>Manuel 2026-10-11: 20 years gives the 15y bond a 5-year tail</t>
  </si>
  <si>
    <t>capture</t>
  </si>
  <si>
    <t>Merchant solar capture price, year 1</t>
  </si>
  <si>
    <t>DE-LU solar market value 2025 = 45.08 (green-2-market.de) (research/r4-lux-solar-inputs.md)</t>
  </si>
  <si>
    <t>high (history)</t>
  </si>
  <si>
    <t>capture_esc</t>
  </si>
  <si>
    <t>Capture price escalation</t>
  </si>
  <si>
    <t>Flat nominal; conservative given cannibalisation</t>
  </si>
  <si>
    <t>p1</t>
  </si>
  <si>
    <t>Tender market premium won (1 = yes, 0 = no)</t>
  </si>
  <si>
    <t>switch</t>
  </si>
  <si>
    <t>FICTIONAL company bids the 8th PV tender (closes 2026-10-30, rooftop cap EUR 95/MWh) (research/r4-lux-solar-inputs.md)</t>
  </si>
  <si>
    <t>2026-07</t>
  </si>
  <si>
    <t>p2</t>
  </si>
  <si>
    <t>Premium also paid on export while host buys on-site (1/0)</t>
  </si>
  <si>
    <t>UNVERIFIED: tender spec only on request from PV@eco.etat.lu; specialist check (research/r4-lux-solar-inputs.md)</t>
  </si>
  <si>
    <t>ref</t>
  </si>
  <si>
    <t>Tender reference value (our bid, assumed won)</t>
  </si>
  <si>
    <t>Bid level between two sourced points: 7th round award 89.75 (one lot-2b award), 8th round rooftop cap 95 (guichet.public.lu) (research/r4-lux-solar-inputs.md)</t>
  </si>
  <si>
    <t>neg</t>
  </si>
  <si>
    <t>Exported volume lost to negative-price rule</t>
  </si>
  <si>
    <t>ZSW long-run 15% of DE PV output in negative hours (20% in 2024) (research/r4-lux-solar-inputs.md); Enervis via pv magazine 2025-06-06: ~28% of potential solar output in negative hours Jan-May 2025 (18% a year earlier); fewer negative hours in H1 2026 (299 vs 389, Euronews 2026-07-29). LU is in the DE-LU price zone; from 2027 no premium in any negative hour. Was 10% until 2026-10-14 (round-2 audit D2.1)</t>
  </si>
  <si>
    <t>prem_tenor</t>
  </si>
  <si>
    <t>Premium contract tenor</t>
  </si>
  <si>
    <t>Lux tender: 15-year market-premium contract (research/r4-lux-solar-inputs.md)</t>
  </si>
  <si>
    <t>stated</t>
  </si>
  <si>
    <t>dm_fee</t>
  </si>
  <si>
    <t>Direct marketing fee</t>
  </si>
  <si>
    <t>EUR/MWh exported</t>
  </si>
  <si>
    <t>SOURCED (DE)</t>
  </si>
  <si>
    <t>ZSW (research/r4-lux-solar-inputs.md)</t>
  </si>
  <si>
    <t>grant_on</t>
  </si>
  <si>
    <t>Investment aid instead of premium (1/0)</t>
  </si>
  <si>
    <t>Self-consumption tender; cannot combine with premium tender (research/r4-lux-solar-inputs.md)</t>
  </si>
  <si>
    <t>2026-02</t>
  </si>
  <si>
    <t>stated rule</t>
  </si>
  <si>
    <t>grant</t>
  </si>
  <si>
    <t>Investment aid</t>
  </si>
  <si>
    <t>4th self-consumption tender average achieved, cap 395 (research/r4-lux-solar-inputs.md)</t>
  </si>
  <si>
    <t>Operating costs (year 1, escalating)</t>
  </si>
  <si>
    <t>om</t>
  </si>
  <si>
    <t>O&amp;M</t>
  </si>
  <si>
    <t>EUR/kWp/yr</t>
  </si>
  <si>
    <t>ZSW 15 EUR/kW all-in opex; ISE 21.5 incl. insurance (research/r4-lux-solar-inputs.md)</t>
  </si>
  <si>
    <t>ins</t>
  </si>
  <si>
    <t>Insurance</t>
  </si>
  <si>
    <t>No clean source (research/r4-lux-solar-inputs.md)</t>
  </si>
  <si>
    <t>roof</t>
  </si>
  <si>
    <t>Roof lease</t>
  </si>
  <si>
    <t>German vendor ranges 2.8-18 (research/r4-lux-solar-inputs.md)</t>
  </si>
  <si>
    <t>2026</t>
  </si>
  <si>
    <t>admin</t>
  </si>
  <si>
    <t>Asset management, SPV admin, audit (both sites)</t>
  </si>
  <si>
    <t>EUR/yr</t>
  </si>
  <si>
    <t>R4 proposed 15k for one site; +5k for a second site (research/r4-lux-solar-inputs.md)</t>
  </si>
  <si>
    <t>grid</t>
  </si>
  <si>
    <t>Grid and metering, per rooftop</t>
  </si>
  <si>
    <t>Creos 2026 tariff sheet: fixed metering items only (research/r4-lux-solar-inputs.md)</t>
  </si>
  <si>
    <t>2025-12-22</t>
  </si>
  <si>
    <t>inv</t>
  </si>
  <si>
    <t>Inverter replacement reserve</t>
  </si>
  <si>
    <t>Replacement ~EUR 50/kW in years 12-15 (research/r4-lux-solar-inputs.md)</t>
  </si>
  <si>
    <t>bond_admin</t>
  </si>
  <si>
    <t>Bond running costs (vehicle, paying/calculation agent, platform, token ops)</t>
  </si>
  <si>
    <t>BMN vehicle &gt;= EUR 60k/yr on a EUR 100M programme; shared compartment assumed for a small issue (research/r3-stokr.md)</t>
  </si>
  <si>
    <t>esc</t>
  </si>
  <si>
    <t>Opex escalation</t>
  </si>
  <si>
    <t>Tax</t>
  </si>
  <si>
    <t>tax</t>
  </si>
  <si>
    <t>Corporate income tax + municipal business tax</t>
  </si>
  <si>
    <t>PwC tax summaries, Luxembourg City 2025 (research/r4-lux-solar-inputs.md)</t>
  </si>
  <si>
    <t>2026-07-31</t>
  </si>
  <si>
    <t>depr</t>
  </si>
  <si>
    <t>Tax depreciation period</t>
  </si>
  <si>
    <t>5% straight line, klima-agence PV tax note (research/r4-lux-solar-inputs.md)</t>
  </si>
  <si>
    <t>2024-01</t>
  </si>
  <si>
    <t>nwt</t>
  </si>
  <si>
    <t>Net wealth tax on unitary value (assets less debts, 1 January); not deductible</t>
  </si>
  <si>
    <t>Grant Thornton Luxembourg, Tax tips: reduction of the NWT 2026 (https://www.grantthornton.lu/en/insights/tax-tips-reduction-of-the-net-wealth-tax-2026/). The reduction against prior-year corporate income tax is not modelled (ProjectCo pays little CIT, so it is small; conservative)</t>
  </si>
  <si>
    <t>nwt_min_lo</t>
  </si>
  <si>
    <t>Minimum NWT, balance sheet up to the first threshold</t>
  </si>
  <si>
    <t>EY Luxembourg, minimum NWT from tax year 2025 (https://www.ey.com/en_lu/insights/tax/luxembourg-parliament-enacts-corporate-income-tax-reduction)</t>
  </si>
  <si>
    <t>2025</t>
  </si>
  <si>
    <t>nwt_min_mid</t>
  </si>
  <si>
    <t>Minimum NWT, balance sheet between the thresholds</t>
  </si>
  <si>
    <t>EY Luxembourg, as above</t>
  </si>
  <si>
    <t>nwt_min_hi</t>
  </si>
  <si>
    <t>Minimum NWT, balance sheet above the second threshold</t>
  </si>
  <si>
    <t>nwt_b1</t>
  </si>
  <si>
    <t>Minimum NWT, first balance-sheet threshold</t>
  </si>
  <si>
    <t>EUR</t>
  </si>
  <si>
    <t>nwt_b2</t>
  </si>
  <si>
    <t>Minimum NWT, second balance-sheet threshold</t>
  </si>
  <si>
    <t>Bond and sizing (decision levers in yellow)</t>
  </si>
  <si>
    <t>coupon</t>
  </si>
  <si>
    <t>Bond coupon (15y amortising, senior)</t>
  </si>
  <si>
    <t>6.5% (6.0-7.5%): KfW 270 5.00-6.80% classes A-E, valid 2026-10-09, German proxy not open to a Lux issuer (audit-1 M4); Willemshoek 7.0% junior; SunCarlito 6% token (research/r2-comparable-deals.md)</t>
  </si>
  <si>
    <t>tenor</t>
  </si>
  <si>
    <t>Bond tenor</t>
  </si>
  <si>
    <t>Locked main case; tail issue flagged</t>
  </si>
  <si>
    <t>dscr</t>
  </si>
  <si>
    <t>Target DSCR for sizing</t>
  </si>
  <si>
    <t>x</t>
  </si>
  <si>
    <t>Locked 1.25-1.30; market deals ~1.15-1.23 (research/r2-comparable-deals.md)</t>
  </si>
  <si>
    <t>profile</t>
  </si>
  <si>
    <t>Repayment profile (1 = annuity, 2 = sculpted)</t>
  </si>
  <si>
    <t>size_case</t>
  </si>
  <si>
    <t>Size debt on (1 = Case A, 2 = Case B)</t>
  </si>
  <si>
    <t>Decision D2</t>
  </si>
  <si>
    <t>size_mode</t>
  </si>
  <si>
    <t>Bond amount (1 = sized by DSCR, 2 = fixed amount below)</t>
  </si>
  <si>
    <t>Decision D1</t>
  </si>
  <si>
    <t>fixed_bond</t>
  </si>
  <si>
    <t>Fixed bond amount (used if mode 2, and for the EUR 2M test)</t>
  </si>
  <si>
    <t>Brief: fictional company raises EUR 2M</t>
  </si>
  <si>
    <t>token</t>
  </si>
  <si>
    <t>Principal per bond token (also the minimum ticket)</t>
  </si>
  <si>
    <t>Locked minimum ticket about EUR 500 (Manuel, 2026-10-11)</t>
  </si>
  <si>
    <t>dsra_m</t>
  </si>
  <si>
    <t>DSRA size</t>
  </si>
  <si>
    <t>months of next year's debt service</t>
  </si>
  <si>
    <t>Locked</t>
  </si>
  <si>
    <t>lockup</t>
  </si>
  <si>
    <t>Distribution lock-up below DSCR</t>
  </si>
  <si>
    <t>Market convention</t>
  </si>
  <si>
    <t>fee</t>
  </si>
  <si>
    <t>Platform / placement success fee</t>
  </si>
  <si>
    <t>% of bond</t>
  </si>
  <si>
    <t>SOURCED (old)</t>
  </si>
  <si>
    <t>STOKR ~5% (2019 interview); platforms 2-5% upfront (research/r3-stokr.md, research/r2-comparable-deals.md)</t>
  </si>
  <si>
    <t>2019 / 2026</t>
  </si>
  <si>
    <t>legal</t>
  </si>
  <si>
    <t>Legal, structuring, tax opinion</t>
  </si>
  <si>
    <t>vehicle</t>
  </si>
  <si>
    <t>Control agent, register and token set-up (direct issuance, no securitisation vehicle)</t>
  </si>
  <si>
    <t>Direct dematerialised issuance under Lux Blockchain Law IV; BMN1 vehicle set-up was capped at EUR 600k for a EUR 100M programme, which a EUR 2M issue cannot carry (research/r3-stokr.md)</t>
  </si>
  <si>
    <t>Downside scenario</t>
  </si>
  <si>
    <t>ds_hosts</t>
  </si>
  <si>
    <t>Hosts that stop buying in the downside</t>
  </si>
  <si>
    <t>Decision D4</t>
  </si>
  <si>
    <t>ds_exit</t>
  </si>
  <si>
    <t>Host stops buying from year</t>
  </si>
  <si>
    <t>year</t>
  </si>
  <si>
    <t>ds_yield</t>
  </si>
  <si>
    <t>Yield factor applied in downside</t>
  </si>
  <si>
    <t>x P50</t>
  </si>
  <si>
    <t>Set 0.933 for 10-yr P90 (research/r4-lux-solar-inputs.md)</t>
  </si>
  <si>
    <t>ds_shock</t>
  </si>
  <si>
    <t>Capture price shock in downside</t>
  </si>
  <si>
    <t>e.g. -20%</t>
  </si>
  <si>
    <t>Comparison: short crowdfunding-style bond</t>
  </si>
  <si>
    <t>cf_coupon</t>
  </si>
  <si>
    <t>Coupon, 3-4 year bullet bond</t>
  </si>
  <si>
    <t>Enerfip 2026 average 8.14% on ~34 months; open offers 6.5-9% (research/r2-comparable-deals.md)</t>
  </si>
  <si>
    <t>2026-10</t>
  </si>
  <si>
    <t>cf_term</t>
  </si>
  <si>
    <t>Term</t>
  </si>
  <si>
    <t>kwp_tot</t>
  </si>
  <si>
    <t>Total programme size (derived)</t>
  </si>
  <si>
    <t>Sources and uses of funds at financial close (EUR)</t>
  </si>
  <si>
    <t>Simplification: bond drawn at completion; no interest during construction (ASSUMPTION).</t>
  </si>
  <si>
    <t>Uses</t>
  </si>
  <si>
    <t>Construction capex</t>
  </si>
  <si>
    <t>Issuance costs (placement fee + legal + register/token set-up)</t>
  </si>
  <si>
    <t>Initial DSRA funding</t>
  </si>
  <si>
    <t>Sources</t>
  </si>
  <si>
    <t>Tokenised bond</t>
  </si>
  <si>
    <t>Investment aid (if switched on)</t>
  </si>
  <si>
    <t>Sponsor equity (fills the gap)</t>
  </si>
  <si>
    <t>Total sources</t>
  </si>
  <si>
    <t>Bond as % of total uses (gearing)</t>
  </si>
  <si>
    <t>Equity as % of total uses</t>
  </si>
  <si>
    <t>Check: sources - uses (should be 0)</t>
  </si>
  <si>
    <t>Debt: sizing and repayment schedule</t>
  </si>
  <si>
    <t>Sizing uses CFADS before interest tax shield (no circularity). Annuity sizing: constant payment = lowest CFADS/DSCR in tenor. Sculpted: payment tracks CFADS/DSCR each year.</t>
  </si>
  <si>
    <t>Year</t>
  </si>
  <si>
    <t>Sizing</t>
  </si>
  <si>
    <t>Bond outstanding flag</t>
  </si>
  <si>
    <t>1/0</t>
  </si>
  <si>
    <t>Sizing CFADS (selected case)</t>
  </si>
  <si>
    <t>Target debt service = sizing CFADS / DSCR</t>
  </si>
  <si>
    <t>Helper: target or 1E12 outside tenor</t>
  </si>
  <si>
    <t>Repayment schedule</t>
  </si>
  <si>
    <t>Opening balance</t>
  </si>
  <si>
    <t>Scheduled payment (interest + principal)</t>
  </si>
  <si>
    <t>Interest</t>
  </si>
  <si>
    <t>Principal</t>
  </si>
  <si>
    <t>Closing balance</t>
  </si>
  <si>
    <t>Debt service due</t>
  </si>
  <si>
    <t>Debt capacity, annuity (constant payment = min target)</t>
  </si>
  <si>
    <t>Debt capacity, sculpted (NPV of target payments)</t>
  </si>
  <si>
    <t>Debt capacity, selected profile</t>
  </si>
  <si>
    <t>BOND AMOUNT USED</t>
  </si>
  <si>
    <t>Check: balance repaid by maturity (should be ~0)</t>
  </si>
  <si>
    <t>Case A: each host buys 70% of its rooftop output on an on-site PPA, rest exported</t>
  </si>
  <si>
    <t>All formulas. Inputs on the Inputs sheet. Debt schedule on the Debt sheet. EUR unless stated.</t>
  </si>
  <si>
    <t>Generation</t>
  </si>
  <si>
    <t>Operating year flag</t>
  </si>
  <si>
    <t>MWh</t>
  </si>
  <si>
    <t>Share of rooftops with a host buying on-site</t>
  </si>
  <si>
    <t>0-1</t>
  </si>
  <si>
    <t>Sold to hosts</t>
  </si>
  <si>
    <t>Exported from rooftops with a host</t>
  </si>
  <si>
    <t>Exported from rooftops without a host</t>
  </si>
  <si>
    <t>Market premium contract active</t>
  </si>
  <si>
    <t>Exported under premium</t>
  </si>
  <si>
    <t>Exported at merchant price</t>
  </si>
  <si>
    <t>PPA price</t>
  </si>
  <si>
    <t>Merchant capture price</t>
  </si>
  <si>
    <t>Host PPA revenue</t>
  </si>
  <si>
    <t>Export revenue net of marketing fee</t>
  </si>
  <si>
    <t>Total revenue</t>
  </si>
  <si>
    <t>Operating costs</t>
  </si>
  <si>
    <t>Asset management, SPV admin, audit</t>
  </si>
  <si>
    <t>Grid and metering</t>
  </si>
  <si>
    <t>Bond running costs (while outstanding)</t>
  </si>
  <si>
    <t>Total operating costs</t>
  </si>
  <si>
    <t>EBITDA</t>
  </si>
  <si>
    <t>Tax and cash flow available for debt service (CFADS)</t>
  </si>
  <si>
    <t>Tax depreciation</t>
  </si>
  <si>
    <t>Tax, unlevered (used for sizing, no interest shield)</t>
  </si>
  <si>
    <t>Plant tax book value, 1 January (capex less depreciation to date)</t>
  </si>
  <si>
    <t>Net wealth tax, unlevered (sizing basis: plant value, no debt deducted)</t>
  </si>
  <si>
    <t>Sizing CFADS (EBITDA - unlevered tax - unlevered net wealth tax)</t>
  </si>
  <si>
    <t>Bond interest (from Debt)</t>
  </si>
  <si>
    <t>Tax, levered (scheduled interest only; no loss carry-forward; conservative)</t>
  </si>
  <si>
    <t>Total assets, 1 January (plant + reserve + retained cash)</t>
  </si>
  <si>
    <t>Unitary value, 1 January (assets less bond and arrears owed)</t>
  </si>
  <si>
    <t>Net wealth tax (0.5% of unitary value, at least the minimum; not deductible)</t>
  </si>
  <si>
    <t>CFADS (EBITDA - levered tax - net wealth tax)</t>
  </si>
  <si>
    <t>Cash waterfall (a missed amount stays owed as arrears with interest at the coupon and is paid first; owners get nothing while arrears are open)</t>
  </si>
  <si>
    <t>Debt service due (from Debt)</t>
  </si>
  <si>
    <t>DSCR (CFADS / debt service)</t>
  </si>
  <si>
    <t>Retained cash, opening</t>
  </si>
  <si>
    <t>Arrears owed to bondholders, opening</t>
  </si>
  <si>
    <t>Default interest on arrears (at the coupon, ASSUMPTION)</t>
  </si>
  <si>
    <t>Total due to bondholders (scheduled + arrears + default interest)</t>
  </si>
  <si>
    <t>Paid to bondholders from operations and retained cash</t>
  </si>
  <si>
    <t>DSRA, opening</t>
  </si>
  <si>
    <t>DSRA drawn</t>
  </si>
  <si>
    <t>Arrears owed to bondholders, closing</t>
  </si>
  <si>
    <t>Debt service NOT paid on time (this year's scheduled payment still owed; cash pays oldest first)</t>
  </si>
  <si>
    <t>DSRA target (months / 12 x next year's debt service)</t>
  </si>
  <si>
    <t>DSRA top-up</t>
  </si>
  <si>
    <t>DSRA release</t>
  </si>
  <si>
    <t>DSRA, closing</t>
  </si>
  <si>
    <t>Cash available for distribution</t>
  </si>
  <si>
    <t>Distribution to equity (nothing while arrears are owed or cover is below the lock-up; negative = sponsor funds a loss)</t>
  </si>
  <si>
    <t>Retained cash, closing</t>
  </si>
  <si>
    <t>Equity</t>
  </si>
  <si>
    <t>Equity cash flow (final year sweeps retained cash and DSRA)</t>
  </si>
  <si>
    <t>Hosts' power savings vs grid supply (hosts are the sponsor)</t>
  </si>
  <si>
    <t>Sponsor cash flow incl. power savings</t>
  </si>
  <si>
    <t>Helper: CFADS shortfall vs debt service</t>
  </si>
  <si>
    <t>Helper: year with lock-up (999 = none)</t>
  </si>
  <si>
    <t>Helper: year of shortfall (999 = none)</t>
  </si>
  <si>
    <t>Project cash flow, unlevered (capex at t0, then sizing CFADS)</t>
  </si>
  <si>
    <t>Owner economics (hosts' holding owns ProjectCo; savings after the hosts' income tax)</t>
  </si>
  <si>
    <t>Hosts' power savings after tax</t>
  </si>
  <si>
    <t>Sponsor cash flow incl. after-tax power savings</t>
  </si>
  <si>
    <t>Owner cash flow, unlevered: project cash + after-tax savings (capex at t0)</t>
  </si>
  <si>
    <t>Owner cash flow, unlevered, cumulative</t>
  </si>
  <si>
    <t>Helper: first year cumulative owner cash &gt;= 0 (999 = none)</t>
  </si>
  <si>
    <t>Case B: no host on either rooftop, 100% exported (premium if won, else merchant)</t>
  </si>
  <si>
    <t>Downside: some hosts stop buying from the year set on Inputs; optional yield and price shocks</t>
  </si>
  <si>
    <t>Comparison: 3-4 year crowdfunding-style bullet bond for the same amount</t>
  </si>
  <si>
    <t>Same project, same amount, Case A cash flow. A bullet bond pays only interest, then all principal at maturity, so the project must refinance.</t>
  </si>
  <si>
    <t>Amount</t>
  </si>
  <si>
    <t>Term (years)</t>
  </si>
  <si>
    <t>Annual interest</t>
  </si>
  <si>
    <t>Year-1 interest cover (Case A sizing CFADS / interest)</t>
  </si>
  <si>
    <t>Cash retained after interest by maturity (Case A, no distributions)</t>
  </si>
  <si>
    <t>Principal due at maturity</t>
  </si>
  <si>
    <t>Refinancing needed at maturity</t>
  </si>
  <si>
    <t>Refinancing need as % of amount</t>
  </si>
  <si>
    <t>Interest paid in first 4 years: bullet bond</t>
  </si>
  <si>
    <t>Interest paid in first 4 years: 15y amortising 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</si>
</sst>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%"/>
    <numFmt numFmtId="165" formatCode="#,##0;\(#,##0\);&quot;-&quot;"/>
    <numFmt numFmtId="166" formatCode="#,##0.00;\(#,##0.00\);&quot;-&quot;"/>
    <numFmt numFmtId="167" formatCode="0.00&quot;x&quot;;\(0.00&quot;x&quot;\);&quot;-&quot;"/>
    <numFmt numFmtId="168" formatCode="0.0%;\(0.0%\);&quot;-&quot;"/>
    <numFmt numFmtId="169" formatCode="#,##0.0;\(#,##0.0\);&quot;-&quot;"/>
  </numFmts>
  <fonts count="7" x14ac:knownFonts="1">
    <font>
      <sz val="11"/>
      <color theme="1"/>
      <name val="Calibri"/>
      <family val="2"/>
      <scheme val="minor"/>
    </font>
    <font>
      <b/>
      <sz val="13"/>
      <name val="Arial"/>
    </font>
    <font>
      <i/>
      <sz val="9"/>
      <color rgb="FF666666"/>
      <name val="Arial"/>
    </font>
    <font>
      <b/>
      <sz val="10"/>
      <name val="Arial"/>
    </font>
    <font>
      <sz val="10"/>
      <name val="Arial"/>
    </font>
    <font>
      <sz val="10"/>
      <color rgb="FF0000FF"/>
      <name val="Arial"/>
    </font>
    <font>
      <sz val="10"/>
      <color rgb="FF008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DE4EE"/>
      </patternFill>
    </fill>
    <fill>
      <patternFill patternType="solid">
        <fgColor rgb="FFFFFF00"/>
      </patternFill>
    </fill>
    <fill>
      <patternFill patternType="solid">
        <fgColor rgb="FFE2EFDA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5" fontId="4" fillId="0" borderId="0" xfId="0" applyNumberFormat="1" applyFont="1"/>
    <xf numFmtId="168" fontId="4" fillId="0" borderId="0" xfId="0" applyNumberFormat="1" applyFont="1"/>
    <xf numFmtId="1" fontId="4" fillId="0" borderId="0" xfId="0" applyNumberFormat="1" applyFont="1"/>
    <xf numFmtId="49" fontId="4" fillId="0" borderId="0" xfId="0" applyNumberFormat="1" applyFont="1"/>
    <xf numFmtId="0" fontId="3" fillId="2" borderId="0" xfId="0" applyFont="1" applyFill="1"/>
    <xf numFmtId="167" fontId="4" fillId="0" borderId="0" xfId="0" applyNumberFormat="1" applyFont="1"/>
    <xf numFmtId="169" fontId="4" fillId="0" borderId="0" xfId="0" applyNumberFormat="1" applyFont="1"/>
    <xf numFmtId="165" fontId="0" fillId="0" borderId="0" xfId="0" applyNumberFormat="1"/>
    <xf numFmtId="167" fontId="0" fillId="0" borderId="0" xfId="0" applyNumberFormat="1"/>
    <xf numFmtId="166" fontId="0" fillId="0" borderId="0" xfId="0" applyNumberFormat="1"/>
    <xf numFmtId="1" fontId="0" fillId="0" borderId="0" xfId="0" applyNumberFormat="1"/>
    <xf numFmtId="168" fontId="0" fillId="0" borderId="0" xfId="0" applyNumberFormat="1"/>
    <xf numFmtId="3" fontId="5" fillId="3" borderId="0" xfId="0" applyNumberFormat="1" applyFont="1" applyFill="1"/>
    <xf numFmtId="0" fontId="5" fillId="3" borderId="0" xfId="0" applyFont="1" applyFill="1"/>
    <xf numFmtId="3" fontId="5" fillId="0" borderId="0" xfId="0" applyNumberFormat="1" applyFont="1"/>
    <xf numFmtId="0" fontId="5" fillId="0" borderId="0" xfId="0" applyFont="1"/>
    <xf numFmtId="164" fontId="5" fillId="0" borderId="0" xfId="0" applyNumberFormat="1" applyFont="1"/>
    <xf numFmtId="10" fontId="5" fillId="0" borderId="0" xfId="0" applyNumberFormat="1" applyFont="1"/>
    <xf numFmtId="164" fontId="5" fillId="3" borderId="0" xfId="0" applyNumberFormat="1" applyFont="1" applyFill="1"/>
    <xf numFmtId="3" fontId="0" fillId="0" borderId="0" xfId="0" applyNumberFormat="1"/>
    <xf numFmtId="165" fontId="3" fillId="0" borderId="0" xfId="0" applyNumberFormat="1" applyFont="1"/>
    <xf numFmtId="0" fontId="6" fillId="0" borderId="0" xfId="0" applyFont="1"/>
    <xf numFmtId="165" fontId="6" fillId="0" borderId="0" xfId="0" applyNumberFormat="1" applyFont="1"/>
    <xf numFmtId="168" fontId="3" fillId="0" borderId="0" xfId="0" applyNumberFormat="1" applyFont="1"/>
    <xf numFmtId="0" fontId="3" fillId="2" borderId="0" xfId="0" applyFont="1" applyFill="1" applyAlignment="1">
      <alignment horizontal="center"/>
    </xf>
    <xf numFmtId="165" fontId="3" fillId="4" borderId="0" xfId="0" applyNumberFormat="1" applyFont="1" applyFill="1"/>
    <xf numFmtId="0" fontId="3" fillId="0" borderId="1" xfId="0" applyFont="1" applyBorder="1"/>
    <xf numFmtId="9" fontId="4" fillId="0" borderId="0" xfId="0" applyNumberFormat="1" applyFont="1"/>
    <xf numFmtId="166" fontId="4" fillId="0" borderId="0" xfId="0" applyNumberFormat="1" applyFont="1"/>
    <xf numFmtId="167" fontId="3" fillId="0" borderId="0" xfId="0" applyNumberFormat="1" applyFont="1"/>
    <xf numFmtId="165" fontId="2" fillId="0" borderId="0" xfId="0" applyNumberFormat="1" applyFont="1"/>
    <xf numFmtId="1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1"/>
  <sheetViews>
    <sheetView showGridLines="0" tabSelected="1" workbookViewId="0"/>
  </sheetViews>
  <sheetFormatPr defaultRowHeight="15" x14ac:dyDescent="0.25"/>
  <cols>
    <col min="1" max="1" width="56" customWidth="1"/>
    <col min="2" max="2" width="3" customWidth="1"/>
    <col min="3" max="5" width="16" customWidth="1"/>
  </cols>
  <sheetData>
    <row r="1" spans="1:5" ht="16.5" x14ac:dyDescent="0.25">
      <c r="A1" s="1" t="s">
        <v>0</v>
      </c>
    </row>
    <row r="2" spans="1:5" x14ac:dyDescent="0.25">
      <c r="A2" s="2" t="s">
        <v>1</v>
      </c>
    </row>
    <row r="4" spans="1:5" x14ac:dyDescent="0.25">
      <c r="A4" s="3" t="s">
        <v>2</v>
      </c>
    </row>
    <row r="5" spans="1:5" x14ac:dyDescent="0.25">
      <c r="A5" s="4" t="s">
        <v>3</v>
      </c>
      <c r="C5" s="5">
        <f>Debt!C22</f>
        <v>2000000</v>
      </c>
    </row>
    <row r="6" spans="1:5" x14ac:dyDescent="0.25">
      <c r="A6" s="4" t="s">
        <v>4</v>
      </c>
      <c r="C6" s="6">
        <f>Inputs!$C$50</f>
        <v>6.5000000000000002E-2</v>
      </c>
    </row>
    <row r="7" spans="1:5" x14ac:dyDescent="0.25">
      <c r="A7" s="4" t="s">
        <v>5</v>
      </c>
      <c r="C7" s="7">
        <f>Inputs!$C$51</f>
        <v>15</v>
      </c>
    </row>
    <row r="8" spans="1:5" x14ac:dyDescent="0.25">
      <c r="A8" s="4" t="s">
        <v>6</v>
      </c>
      <c r="C8" s="8" t="str">
        <f>IF(Inputs!$C$53=1,"Annuity","Sculpted")</f>
        <v>Annuity</v>
      </c>
    </row>
    <row r="9" spans="1:5" x14ac:dyDescent="0.25">
      <c r="A9" s="4" t="s">
        <v>7</v>
      </c>
      <c r="C9" s="8" t="str">
        <f>IF(Inputs!$C$55=2,"Fixed amount",IF(Inputs!$C$54=1,"Case A","Case B")&amp;" at DSCR "&amp;TEXT(Inputs!$C$52,"0.00"))</f>
        <v>Fixed amount</v>
      </c>
    </row>
    <row r="10" spans="1:5" x14ac:dyDescent="0.25">
      <c r="A10" s="4" t="s">
        <v>8</v>
      </c>
      <c r="C10" s="5">
        <f>'Sources &amp; Uses'!C8</f>
        <v>5106352.7829650622</v>
      </c>
    </row>
    <row r="11" spans="1:5" x14ac:dyDescent="0.25">
      <c r="A11" s="4" t="s">
        <v>9</v>
      </c>
      <c r="C11" s="5">
        <f>'Sources &amp; Uses'!C15</f>
        <v>3106352.7829650622</v>
      </c>
    </row>
    <row r="12" spans="1:5" x14ac:dyDescent="0.25">
      <c r="A12" s="4" t="s">
        <v>10</v>
      </c>
      <c r="C12" s="6">
        <f>'Sources &amp; Uses'!C18</f>
        <v>0.39166898273696577</v>
      </c>
    </row>
    <row r="13" spans="1:5" x14ac:dyDescent="0.25">
      <c r="A13" s="4" t="s">
        <v>11</v>
      </c>
      <c r="C13" s="5">
        <f>PV(Inputs!$C$50,Inputs!$C$51,-MIN('Case A'!D36:INDEX('Case A'!D36:AB36,1,Inputs!$C$51))/Inputs!$C$52)</f>
        <v>2251816.4583957884</v>
      </c>
    </row>
    <row r="14" spans="1:5" x14ac:dyDescent="0.25">
      <c r="A14" s="4" t="s">
        <v>12</v>
      </c>
      <c r="C14" s="5">
        <f>PV(Inputs!$C$50,Inputs!$C$51,-MIN('Case B'!D36:INDEX('Case B'!D36:AB36,1,Inputs!$C$51))/Inputs!$C$52)</f>
        <v>1444210.0948775883</v>
      </c>
    </row>
    <row r="16" spans="1:5" x14ac:dyDescent="0.25">
      <c r="A16" s="3" t="s">
        <v>13</v>
      </c>
      <c r="C16" s="9" t="s">
        <v>14</v>
      </c>
      <c r="D16" s="9" t="s">
        <v>15</v>
      </c>
      <c r="E16" s="9" t="s">
        <v>16</v>
      </c>
    </row>
    <row r="17" spans="1:5" x14ac:dyDescent="0.25">
      <c r="A17" s="4" t="s">
        <v>17</v>
      </c>
      <c r="C17" s="5">
        <f>'Case A'!D20</f>
        <v>532224</v>
      </c>
      <c r="D17" s="5">
        <f>'Case B'!D20</f>
        <v>451885.5</v>
      </c>
      <c r="E17" s="5">
        <f>Downside!D20</f>
        <v>532224</v>
      </c>
    </row>
    <row r="18" spans="1:5" x14ac:dyDescent="0.25">
      <c r="A18" s="4" t="s">
        <v>18</v>
      </c>
      <c r="C18" s="5">
        <f>'Case A'!D42</f>
        <v>350692.23608517466</v>
      </c>
      <c r="D18" s="5">
        <f>'Case B'!D42</f>
        <v>270353.73608517466</v>
      </c>
      <c r="E18" s="5">
        <f>Downside!D42</f>
        <v>350692.23608517466</v>
      </c>
    </row>
    <row r="19" spans="1:5" x14ac:dyDescent="0.25">
      <c r="A19" s="4" t="s">
        <v>19</v>
      </c>
      <c r="C19" s="10">
        <f>'Case A'!D45</f>
        <v>1.648721482917749</v>
      </c>
      <c r="D19" s="10">
        <f>'Case B'!D45</f>
        <v>1.2710233270246791</v>
      </c>
      <c r="E19" s="10">
        <f>Downside!D45</f>
        <v>1.648721482917749</v>
      </c>
    </row>
    <row r="20" spans="1:5" x14ac:dyDescent="0.25">
      <c r="A20" s="4" t="s">
        <v>20</v>
      </c>
      <c r="C20" s="10">
        <f>MIN('Case A'!D45:AB45)</f>
        <v>1.4958652094276292</v>
      </c>
      <c r="D20" s="10">
        <f>MIN('Case B'!D45:AB45)</f>
        <v>0.9399831383602909</v>
      </c>
      <c r="E20" s="10">
        <f>MIN(Downside!D45:AB45)</f>
        <v>0.9399831383602909</v>
      </c>
    </row>
    <row r="21" spans="1:5" x14ac:dyDescent="0.25">
      <c r="A21" s="4" t="s">
        <v>21</v>
      </c>
      <c r="C21" s="10">
        <f>AVERAGE('Case A'!D45:AB45)</f>
        <v>1.5894006925652353</v>
      </c>
      <c r="D21" s="10">
        <f>AVERAGE('Case B'!D45:AB45)</f>
        <v>1.1133279876556232</v>
      </c>
      <c r="E21" s="10">
        <f>AVERAGE(Downside!D45:AB45)</f>
        <v>1.2209767455970308</v>
      </c>
    </row>
    <row r="22" spans="1:5" x14ac:dyDescent="0.25">
      <c r="A22" s="4" t="s">
        <v>22</v>
      </c>
      <c r="C22" s="5">
        <f>SUM('Case A'!D54:AB54)</f>
        <v>0</v>
      </c>
      <c r="D22" s="5">
        <f>SUM('Case B'!D54:AB54)</f>
        <v>0</v>
      </c>
      <c r="E22" s="5">
        <f>SUM(Downside!D54:AB54)</f>
        <v>0</v>
      </c>
    </row>
    <row r="23" spans="1:5" x14ac:dyDescent="0.25">
      <c r="A23" s="4" t="s">
        <v>23</v>
      </c>
      <c r="C23" s="5">
        <f>'Case A'!AB53</f>
        <v>0</v>
      </c>
      <c r="D23" s="5">
        <f>'Case B'!AB53</f>
        <v>0</v>
      </c>
      <c r="E23" s="5">
        <f>Downside!AB53</f>
        <v>0</v>
      </c>
    </row>
    <row r="24" spans="1:5" x14ac:dyDescent="0.25">
      <c r="A24" s="4" t="s">
        <v>24</v>
      </c>
      <c r="C24" s="5">
        <f>SUM('Case A'!D48:AB48)</f>
        <v>0</v>
      </c>
      <c r="D24" s="5">
        <f>SUM('Case B'!D48:AB48)</f>
        <v>0</v>
      </c>
      <c r="E24" s="5">
        <f>SUM(Downside!D48:AB48)</f>
        <v>0</v>
      </c>
    </row>
    <row r="25" spans="1:5" x14ac:dyDescent="0.25">
      <c r="A25" s="4" t="s">
        <v>25</v>
      </c>
      <c r="C25" s="5">
        <f>'Case A'!D41</f>
        <v>14531.763914825311</v>
      </c>
      <c r="D25" s="5">
        <f>'Case B'!D41</f>
        <v>14531.763914825311</v>
      </c>
      <c r="E25" s="5">
        <f>Downside!D41</f>
        <v>14531.763914825311</v>
      </c>
    </row>
    <row r="26" spans="1:5" x14ac:dyDescent="0.25">
      <c r="A26" s="4" t="s">
        <v>26</v>
      </c>
      <c r="C26" s="7" t="str">
        <f>IF(MIN('Case A'!D68:AB68)=999,"none",MIN('Case A'!D68:AB68))</f>
        <v>none</v>
      </c>
      <c r="D26" s="7" t="str">
        <f>IF(MIN('Case B'!D68:AB68)=999,"none",MIN('Case B'!D68:AB68))</f>
        <v>none</v>
      </c>
      <c r="E26" s="7" t="str">
        <f>IF(MIN(Downside!D68:AB68)=999,"none",MIN(Downside!D68:AB68))</f>
        <v>none</v>
      </c>
    </row>
    <row r="27" spans="1:5" x14ac:dyDescent="0.25">
      <c r="A27" s="4" t="s">
        <v>27</v>
      </c>
      <c r="C27" s="5">
        <f>SUM('Case A'!D52:AB52)</f>
        <v>0</v>
      </c>
      <c r="D27" s="5">
        <f>SUM('Case B'!D52:AB52)</f>
        <v>0</v>
      </c>
      <c r="E27" s="5">
        <f>SUM(Downside!D52:AB52)</f>
        <v>0</v>
      </c>
    </row>
    <row r="28" spans="1:5" x14ac:dyDescent="0.25">
      <c r="A28" s="4" t="s">
        <v>28</v>
      </c>
      <c r="C28" s="6">
        <f>IFERROR(IRR('Case A'!C69:AB69),"n/a")</f>
        <v>2.8394088751670044E-2</v>
      </c>
      <c r="D28" s="6">
        <f>IFERROR(IRR('Case B'!C69:AB69),"n/a")</f>
        <v>-3.5794864197521314E-2</v>
      </c>
      <c r="E28" s="6">
        <f>IFERROR(IRR(Downside!C69:AB69),"n/a")</f>
        <v>-2.8990890817122139E-2</v>
      </c>
    </row>
    <row r="29" spans="1:5" x14ac:dyDescent="0.25">
      <c r="A29" s="4" t="s">
        <v>29</v>
      </c>
      <c r="C29" s="5">
        <f>'Case A'!D64</f>
        <v>49480.200000000026</v>
      </c>
      <c r="D29" s="5">
        <f>'Case B'!D64</f>
        <v>0</v>
      </c>
      <c r="E29" s="5">
        <f>Downside!D64</f>
        <v>49480.200000000026</v>
      </c>
    </row>
    <row r="30" spans="1:5" x14ac:dyDescent="0.25">
      <c r="A30" s="4" t="s">
        <v>30</v>
      </c>
      <c r="C30" s="6">
        <f>IFERROR(IRR('Case A'!C65:AB65,0.05),"n/a")</f>
        <v>3.686512596679381E-2</v>
      </c>
      <c r="D30" s="6">
        <f>IFERROR(IRR('Case B'!C65:AB65,0.05),"n/a")</f>
        <v>-0.13146667897206599</v>
      </c>
      <c r="E30" s="6">
        <f>IFERROR(IRR(Downside!C65:AB65,0.05),"n/a")</f>
        <v>-0.11378941168661816</v>
      </c>
    </row>
    <row r="31" spans="1:5" x14ac:dyDescent="0.25">
      <c r="A31" s="4" t="s">
        <v>31</v>
      </c>
      <c r="C31" s="5">
        <f>'Case A'!D71</f>
        <v>37669.276260000021</v>
      </c>
      <c r="D31" s="5">
        <f>'Case B'!D71</f>
        <v>0</v>
      </c>
      <c r="E31" s="5">
        <f>Downside!D71</f>
        <v>37669.276260000021</v>
      </c>
    </row>
    <row r="32" spans="1:5" x14ac:dyDescent="0.25">
      <c r="A32" s="4" t="s">
        <v>32</v>
      </c>
      <c r="C32" s="6">
        <f>IFERROR(IRR('Case A'!C72:AB72,0.05),"n/a")</f>
        <v>3.1457310592141186E-2</v>
      </c>
      <c r="D32" s="6">
        <f>IFERROR(IRR('Case B'!C72:AB72,0.05),"n/a")</f>
        <v>-0.13146667897206599</v>
      </c>
      <c r="E32" s="6">
        <f>IFERROR(IRR(Downside!C72:AB72,0.05),"n/a")</f>
        <v>-0.11548691125953703</v>
      </c>
    </row>
    <row r="33" spans="1:5" x14ac:dyDescent="0.25">
      <c r="A33" s="4" t="s">
        <v>33</v>
      </c>
      <c r="C33" s="6">
        <f>IFERROR(IRR('Case A'!C73:AB73,0.05),"n/a")</f>
        <v>4.1202564913313422E-2</v>
      </c>
      <c r="D33" s="6">
        <f>IFERROR(IRR('Case B'!C73:AB73,0.05),"n/a")</f>
        <v>-3.5794864197521536E-2</v>
      </c>
      <c r="E33" s="6">
        <f>IFERROR(IRR(Downside!C73:AB73,0.05),"n/a")</f>
        <v>-2.4928266856852899E-2</v>
      </c>
    </row>
    <row r="34" spans="1:5" x14ac:dyDescent="0.25">
      <c r="A34" s="4" t="s">
        <v>34</v>
      </c>
      <c r="C34" s="11">
        <f>IF(MIN('Case A'!D75:AB75)=999,"n/a",MIN('Case A'!D75:AB75)-1-INDEX('Case A'!C74:AB74,1,MIN('Case A'!D75:AB75))/INDEX('Case A'!C73:AB73,1,MIN('Case A'!D75:AB75)+1))</f>
        <v>13.611073337713252</v>
      </c>
      <c r="D34" s="11" t="str">
        <f>IF(MIN('Case B'!D75:AB75)=999,"n/a",MIN('Case B'!D75:AB75)-1-INDEX('Case B'!C74:AB74,1,MIN('Case B'!D75:AB75))/INDEX('Case B'!C73:AB73,1,MIN('Case B'!D75:AB75)+1))</f>
        <v>n/a</v>
      </c>
      <c r="E34" s="11" t="str">
        <f>IF(MIN(Downside!D75:AB75)=999,"n/a",MIN(Downside!D75:AB75)-1-INDEX(Downside!C74:AB74,1,MIN(Downside!D75:AB75))/INDEX(Downside!C73:AB73,1,MIN(Downside!D75:AB75)+1))</f>
        <v>n/a</v>
      </c>
    </row>
    <row r="35" spans="1:5" x14ac:dyDescent="0.25">
      <c r="A35" s="4" t="s">
        <v>35</v>
      </c>
      <c r="C35" s="7" t="str">
        <f>IF(MIN('Case A'!D67:AB67)=999,"none",MIN('Case A'!D67:AB67))</f>
        <v>none</v>
      </c>
      <c r="D35" s="7">
        <f>IF(MIN('Case B'!D67:AB67)=999,"none",MIN('Case B'!D67:AB67))</f>
        <v>9</v>
      </c>
      <c r="E35" s="7">
        <f>IF(MIN(Downside!D67:AB67)=999,"none",MIN(Downside!D67:AB67))</f>
        <v>9</v>
      </c>
    </row>
    <row r="36" spans="1:5" x14ac:dyDescent="0.25">
      <c r="A36" s="4" t="s">
        <v>36</v>
      </c>
      <c r="C36" s="7">
        <f>COUNTIF('Case A'!D67:AB67,"&lt;999")</f>
        <v>0</v>
      </c>
      <c r="D36" s="7">
        <f>COUNTIF('Case B'!D67:AB67,"&lt;999")</f>
        <v>7</v>
      </c>
      <c r="E36" s="7">
        <f>COUNTIF(Downside!D67:AB67,"&lt;999")</f>
        <v>7</v>
      </c>
    </row>
    <row r="37" spans="1:5" x14ac:dyDescent="0.25">
      <c r="A37" s="4" t="s">
        <v>37</v>
      </c>
      <c r="C37" s="5">
        <f>SUM('Case A'!D66:AB66)</f>
        <v>0</v>
      </c>
      <c r="D37" s="5">
        <f>SUM('Case B'!D66:AB66)</f>
        <v>21187.797713817388</v>
      </c>
      <c r="E37" s="5">
        <f>SUM(Downside!D66:AB66)</f>
        <v>21187.797713817388</v>
      </c>
    </row>
    <row r="38" spans="1:5" x14ac:dyDescent="0.25">
      <c r="A38" s="4" t="s">
        <v>38</v>
      </c>
      <c r="C38" s="6">
        <f>IFERROR(IRR('Case A'!C63:AB63,-0.05),"n/a")</f>
        <v>1.3422148533979605E-2</v>
      </c>
      <c r="D38" s="6">
        <f>IFERROR(IRR('Case B'!C63:AB63,-0.05),"n/a")</f>
        <v>-0.13146667897206576</v>
      </c>
      <c r="E38" s="6">
        <f>IFERROR(IRR(Downside!C63:AB63,-0.05),"n/a")</f>
        <v>-0.12069229072025156</v>
      </c>
    </row>
    <row r="40" spans="1:5" x14ac:dyDescent="0.25">
      <c r="A40" s="3" t="s">
        <v>39</v>
      </c>
      <c r="C40" s="3" t="s">
        <v>14</v>
      </c>
      <c r="D40" s="3" t="s">
        <v>15</v>
      </c>
    </row>
    <row r="41" spans="1:5" x14ac:dyDescent="0.25">
      <c r="A41" s="4" t="s">
        <v>40</v>
      </c>
      <c r="C41" s="12">
        <f>PMT(Inputs!$C$50,Inputs!$C$51,-Inputs!$C$56)</f>
        <v>212705.56593012495</v>
      </c>
    </row>
    <row r="42" spans="1:5" x14ac:dyDescent="0.25">
      <c r="A42" s="4" t="s">
        <v>41</v>
      </c>
      <c r="C42" s="13">
        <f>'Case A'!D36/$C$41</f>
        <v>1.4636806979572636</v>
      </c>
      <c r="D42" s="13">
        <f>'Case B'!D36/$C$41</f>
        <v>1.1761390918758692</v>
      </c>
    </row>
    <row r="43" spans="1:5" x14ac:dyDescent="0.25">
      <c r="A43" s="4" t="s">
        <v>42</v>
      </c>
      <c r="C43" s="13">
        <f>MIN('Case A'!D36:INDEX('Case A'!D36:AB36,1,Inputs!$C$51))/$C$41</f>
        <v>1.4636806979572636</v>
      </c>
      <c r="D43" s="13">
        <f>MIN('Case B'!D36:INDEX('Case B'!D36:AB36,1,Inputs!$C$51))/$C$41</f>
        <v>0.93873656167043318</v>
      </c>
    </row>
    <row r="45" spans="1:5" x14ac:dyDescent="0.25">
      <c r="A45" s="3" t="s">
        <v>43</v>
      </c>
    </row>
    <row r="46" spans="1:5" x14ac:dyDescent="0.25">
      <c r="A46" s="4" t="s">
        <v>44</v>
      </c>
      <c r="C46" s="3" t="str">
        <f>IF(ABS('Sources &amp; Uses'!C20)&lt;1,"OK","CHECK")</f>
        <v>OK</v>
      </c>
    </row>
    <row r="47" spans="1:5" x14ac:dyDescent="0.25">
      <c r="A47" s="4" t="s">
        <v>45</v>
      </c>
      <c r="C47" s="3" t="str">
        <f>IF(ABS(Debt!C23)&lt;1,"OK","CHECK")</f>
        <v>OK</v>
      </c>
    </row>
    <row r="48" spans="1:5" x14ac:dyDescent="0.25">
      <c r="A48" s="4" t="s">
        <v>46</v>
      </c>
      <c r="C48" s="3" t="str">
        <f>IF(AND(Inputs!$C$23=1,Inputs!$C$29=1),"CONFLICT: aid overrides premium","OK")</f>
        <v>OK</v>
      </c>
    </row>
    <row r="49" spans="1:3" x14ac:dyDescent="0.25">
      <c r="A49" s="4" t="s">
        <v>47</v>
      </c>
      <c r="C49" s="3" t="str">
        <f>IF(Inputs!$C$51&lt;=Inputs!$C$12,"OK","CHECK")</f>
        <v>OK</v>
      </c>
    </row>
    <row r="50" spans="1:3" x14ac:dyDescent="0.25">
      <c r="A50" s="4" t="s">
        <v>48</v>
      </c>
      <c r="C50" s="3" t="str">
        <f>IF(AND('Case A'!AB53&lt;1,'Case B'!AB53&lt;1),"OK","CHECK")</f>
        <v>OK</v>
      </c>
    </row>
    <row r="52" spans="1:3" x14ac:dyDescent="0.25">
      <c r="A52" s="3" t="s">
        <v>49</v>
      </c>
    </row>
    <row r="53" spans="1:3" x14ac:dyDescent="0.25">
      <c r="A53" s="4" t="s">
        <v>50</v>
      </c>
      <c r="C53" s="14">
        <f>Inputs!$C$57</f>
        <v>500</v>
      </c>
    </row>
    <row r="54" spans="1:3" x14ac:dyDescent="0.25">
      <c r="A54" s="4" t="s">
        <v>51</v>
      </c>
      <c r="C54" s="12">
        <f>Debt!C22/Inputs!$C$57</f>
        <v>4000</v>
      </c>
    </row>
    <row r="55" spans="1:3" x14ac:dyDescent="0.25">
      <c r="A55" s="4" t="s">
        <v>52</v>
      </c>
      <c r="C55" s="14">
        <f>Debt!D17*Inputs!$C$57/Debt!C22</f>
        <v>53.176391482531244</v>
      </c>
    </row>
    <row r="56" spans="1:3" x14ac:dyDescent="0.25">
      <c r="A56" s="4" t="s">
        <v>53</v>
      </c>
      <c r="C56" s="14">
        <f>Debt!D14*Inputs!$C$57/Debt!C22</f>
        <v>32.5</v>
      </c>
    </row>
    <row r="57" spans="1:3" x14ac:dyDescent="0.25">
      <c r="A57" s="4" t="s">
        <v>54</v>
      </c>
      <c r="C57" s="14">
        <f>Debt!D15*Inputs!$C$57/Debt!C22</f>
        <v>20.676391482531237</v>
      </c>
    </row>
    <row r="58" spans="1:3" x14ac:dyDescent="0.25">
      <c r="A58" s="4" t="s">
        <v>55</v>
      </c>
      <c r="C58" s="14">
        <f>SUM(Debt!D17:AB17)*Inputs!$C$57/Debt!C22</f>
        <v>797.64587223796821</v>
      </c>
    </row>
    <row r="59" spans="1:3" x14ac:dyDescent="0.25">
      <c r="A59" s="4" t="s">
        <v>56</v>
      </c>
      <c r="C59" s="12">
        <f>'Sources &amp; Uses'!C7</f>
        <v>106352.78296506248</v>
      </c>
    </row>
    <row r="60" spans="1:3" x14ac:dyDescent="0.25">
      <c r="A60" s="4" t="s">
        <v>57</v>
      </c>
      <c r="C60" s="15">
        <f>Inputs!$C$58</f>
        <v>6</v>
      </c>
    </row>
    <row r="61" spans="1:3" x14ac:dyDescent="0.25">
      <c r="A61" s="4" t="s">
        <v>58</v>
      </c>
      <c r="C61" s="16">
        <f>'Sources &amp; Uses'!C6/Debt!C22</f>
        <v>0.1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1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11" customWidth="1"/>
    <col min="2" max="2" width="52" customWidth="1"/>
    <col min="3" max="3" width="12" customWidth="1"/>
    <col min="4" max="4" width="22" customWidth="1"/>
    <col min="5" max="5" width="15" customWidth="1"/>
    <col min="6" max="6" width="90" customWidth="1"/>
    <col min="7" max="7" width="12" customWidth="1"/>
    <col min="8" max="8" width="14" customWidth="1"/>
  </cols>
  <sheetData>
    <row r="1" spans="1:8" ht="16.5" x14ac:dyDescent="0.25">
      <c r="A1" s="1" t="s">
        <v>59</v>
      </c>
    </row>
    <row r="2" spans="1:8" x14ac:dyDescent="0.25">
      <c r="A2" s="2" t="s">
        <v>60</v>
      </c>
    </row>
    <row r="4" spans="1:8" x14ac:dyDescent="0.25">
      <c r="A4" s="9" t="s">
        <v>61</v>
      </c>
      <c r="B4" s="9" t="s">
        <v>62</v>
      </c>
      <c r="C4" s="9" t="s">
        <v>63</v>
      </c>
      <c r="D4" s="9" t="s">
        <v>64</v>
      </c>
      <c r="E4" s="9" t="s">
        <v>65</v>
      </c>
      <c r="F4" s="9" t="s">
        <v>66</v>
      </c>
      <c r="G4" s="9" t="s">
        <v>67</v>
      </c>
      <c r="H4" s="9" t="s">
        <v>68</v>
      </c>
    </row>
    <row r="5" spans="1:8" x14ac:dyDescent="0.25">
      <c r="B5" s="3" t="s">
        <v>69</v>
      </c>
    </row>
    <row r="6" spans="1:8" x14ac:dyDescent="0.25">
      <c r="A6" s="2" t="s">
        <v>70</v>
      </c>
      <c r="B6" s="4" t="s">
        <v>71</v>
      </c>
      <c r="C6" s="17">
        <v>3000</v>
      </c>
      <c r="D6" s="4" t="s">
        <v>72</v>
      </c>
      <c r="E6" s="4" t="s">
        <v>73</v>
      </c>
      <c r="F6" s="4" t="s">
        <v>74</v>
      </c>
      <c r="G6" s="4" t="s">
        <v>75</v>
      </c>
      <c r="H6" s="4" t="s">
        <v>76</v>
      </c>
    </row>
    <row r="7" spans="1:8" x14ac:dyDescent="0.25">
      <c r="A7" s="2" t="s">
        <v>77</v>
      </c>
      <c r="B7" s="4" t="s">
        <v>78</v>
      </c>
      <c r="C7" s="18">
        <v>2</v>
      </c>
      <c r="D7" s="4" t="s">
        <v>79</v>
      </c>
      <c r="E7" s="4" t="s">
        <v>73</v>
      </c>
      <c r="F7" s="4" t="s">
        <v>80</v>
      </c>
      <c r="G7" s="4" t="s">
        <v>81</v>
      </c>
      <c r="H7" s="4" t="s">
        <v>76</v>
      </c>
    </row>
    <row r="8" spans="1:8" x14ac:dyDescent="0.25">
      <c r="A8" s="2" t="s">
        <v>82</v>
      </c>
      <c r="B8" s="4" t="s">
        <v>83</v>
      </c>
      <c r="C8" s="19">
        <v>1000</v>
      </c>
      <c r="D8" s="4" t="s">
        <v>84</v>
      </c>
      <c r="E8" s="4" t="s">
        <v>85</v>
      </c>
      <c r="F8" s="4" t="s">
        <v>86</v>
      </c>
      <c r="G8" s="4" t="s">
        <v>81</v>
      </c>
      <c r="H8" s="4" t="s">
        <v>87</v>
      </c>
    </row>
    <row r="9" spans="1:8" x14ac:dyDescent="0.25">
      <c r="A9" s="2" t="s">
        <v>88</v>
      </c>
      <c r="B9" s="4" t="s">
        <v>89</v>
      </c>
      <c r="C9" s="20">
        <v>48.6</v>
      </c>
      <c r="D9" s="4" t="s">
        <v>90</v>
      </c>
      <c r="E9" s="4" t="s">
        <v>85</v>
      </c>
      <c r="F9" s="4" t="s">
        <v>91</v>
      </c>
      <c r="G9" s="4" t="s">
        <v>81</v>
      </c>
      <c r="H9" s="4" t="s">
        <v>87</v>
      </c>
    </row>
    <row r="10" spans="1:8" x14ac:dyDescent="0.25">
      <c r="A10" s="2" t="s">
        <v>92</v>
      </c>
      <c r="B10" s="4" t="s">
        <v>93</v>
      </c>
      <c r="C10" s="21">
        <v>0.99</v>
      </c>
      <c r="D10" s="4" t="s">
        <v>94</v>
      </c>
      <c r="E10" s="4" t="s">
        <v>95</v>
      </c>
      <c r="F10" s="4" t="s">
        <v>96</v>
      </c>
      <c r="G10" s="4" t="s">
        <v>81</v>
      </c>
      <c r="H10" s="4" t="s">
        <v>97</v>
      </c>
    </row>
    <row r="11" spans="1:8" x14ac:dyDescent="0.25">
      <c r="A11" s="2" t="s">
        <v>98</v>
      </c>
      <c r="B11" s="4" t="s">
        <v>99</v>
      </c>
      <c r="C11" s="21">
        <v>4.0000000000000001E-3</v>
      </c>
      <c r="D11" s="4" t="s">
        <v>100</v>
      </c>
      <c r="E11" s="4" t="s">
        <v>95</v>
      </c>
      <c r="F11" s="4" t="s">
        <v>101</v>
      </c>
      <c r="G11" s="4" t="s">
        <v>102</v>
      </c>
      <c r="H11" s="4" t="s">
        <v>103</v>
      </c>
    </row>
    <row r="12" spans="1:8" x14ac:dyDescent="0.25">
      <c r="A12" s="2" t="s">
        <v>104</v>
      </c>
      <c r="B12" s="4" t="s">
        <v>105</v>
      </c>
      <c r="C12" s="20">
        <v>25</v>
      </c>
      <c r="D12" s="4" t="s">
        <v>106</v>
      </c>
      <c r="E12" s="4" t="s">
        <v>95</v>
      </c>
      <c r="F12" s="4" t="s">
        <v>107</v>
      </c>
      <c r="G12" s="4" t="s">
        <v>81</v>
      </c>
      <c r="H12" s="4" t="s">
        <v>76</v>
      </c>
    </row>
    <row r="13" spans="1:8" x14ac:dyDescent="0.25">
      <c r="A13" s="2" t="s">
        <v>108</v>
      </c>
      <c r="B13" s="4" t="s">
        <v>109</v>
      </c>
      <c r="C13" s="20">
        <v>800</v>
      </c>
      <c r="D13" s="4" t="s">
        <v>110</v>
      </c>
      <c r="E13" s="4" t="s">
        <v>111</v>
      </c>
      <c r="F13" s="4" t="s">
        <v>112</v>
      </c>
      <c r="G13" s="4" t="s">
        <v>102</v>
      </c>
      <c r="H13" s="4" t="s">
        <v>103</v>
      </c>
    </row>
    <row r="14" spans="1:8" x14ac:dyDescent="0.25">
      <c r="B14" s="3" t="s">
        <v>113</v>
      </c>
    </row>
    <row r="15" spans="1:8" x14ac:dyDescent="0.25">
      <c r="A15" s="2" t="s">
        <v>114</v>
      </c>
      <c r="B15" s="4" t="s">
        <v>115</v>
      </c>
      <c r="C15" s="21">
        <v>0.7</v>
      </c>
      <c r="D15" s="4" t="s">
        <v>94</v>
      </c>
      <c r="E15" s="4" t="s">
        <v>95</v>
      </c>
      <c r="F15" s="4" t="s">
        <v>116</v>
      </c>
      <c r="G15" s="4" t="s">
        <v>81</v>
      </c>
      <c r="H15" s="4" t="s">
        <v>76</v>
      </c>
    </row>
    <row r="16" spans="1:8" x14ac:dyDescent="0.25">
      <c r="A16" s="2" t="s">
        <v>117</v>
      </c>
      <c r="B16" s="4" t="s">
        <v>118</v>
      </c>
      <c r="C16" s="18">
        <v>110</v>
      </c>
      <c r="D16" s="4" t="s">
        <v>119</v>
      </c>
      <c r="E16" s="4" t="s">
        <v>111</v>
      </c>
      <c r="F16" s="4" t="s">
        <v>120</v>
      </c>
      <c r="G16" s="4" t="s">
        <v>121</v>
      </c>
      <c r="H16" s="4" t="s">
        <v>103</v>
      </c>
    </row>
    <row r="17" spans="1:8" x14ac:dyDescent="0.25">
      <c r="A17" s="2" t="s">
        <v>122</v>
      </c>
      <c r="B17" s="4" t="s">
        <v>123</v>
      </c>
      <c r="C17" s="20">
        <v>121.9</v>
      </c>
      <c r="D17" s="4" t="s">
        <v>119</v>
      </c>
      <c r="E17" s="4" t="s">
        <v>85</v>
      </c>
      <c r="F17" s="4" t="s">
        <v>124</v>
      </c>
      <c r="G17" s="4" t="s">
        <v>125</v>
      </c>
      <c r="H17" s="4" t="s">
        <v>126</v>
      </c>
    </row>
    <row r="18" spans="1:8" x14ac:dyDescent="0.25">
      <c r="A18" s="2" t="s">
        <v>127</v>
      </c>
      <c r="B18" s="4" t="s">
        <v>128</v>
      </c>
      <c r="C18" s="21">
        <v>0.01</v>
      </c>
      <c r="D18" s="4" t="s">
        <v>100</v>
      </c>
      <c r="E18" s="4" t="s">
        <v>95</v>
      </c>
      <c r="F18" s="4" t="s">
        <v>129</v>
      </c>
      <c r="G18" s="4" t="s">
        <v>81</v>
      </c>
      <c r="H18" s="4" t="s">
        <v>97</v>
      </c>
    </row>
    <row r="19" spans="1:8" x14ac:dyDescent="0.25">
      <c r="A19" s="2" t="s">
        <v>130</v>
      </c>
      <c r="B19" s="4" t="s">
        <v>131</v>
      </c>
      <c r="C19" s="21">
        <v>0.01</v>
      </c>
      <c r="D19" s="4" t="s">
        <v>100</v>
      </c>
      <c r="E19" s="4" t="s">
        <v>95</v>
      </c>
      <c r="F19" s="4" t="s">
        <v>132</v>
      </c>
      <c r="G19" s="4" t="s">
        <v>81</v>
      </c>
      <c r="H19" s="4" t="s">
        <v>97</v>
      </c>
    </row>
    <row r="20" spans="1:8" x14ac:dyDescent="0.25">
      <c r="A20" s="2" t="s">
        <v>133</v>
      </c>
      <c r="B20" s="4" t="s">
        <v>134</v>
      </c>
      <c r="C20" s="20">
        <v>20</v>
      </c>
      <c r="D20" s="4" t="s">
        <v>106</v>
      </c>
      <c r="E20" s="4" t="s">
        <v>95</v>
      </c>
      <c r="F20" s="4" t="s">
        <v>135</v>
      </c>
      <c r="G20" s="4" t="s">
        <v>81</v>
      </c>
      <c r="H20" s="4" t="s">
        <v>76</v>
      </c>
    </row>
    <row r="21" spans="1:8" x14ac:dyDescent="0.25">
      <c r="A21" s="2" t="s">
        <v>136</v>
      </c>
      <c r="B21" s="4" t="s">
        <v>137</v>
      </c>
      <c r="C21" s="20">
        <v>45</v>
      </c>
      <c r="D21" s="4" t="s">
        <v>119</v>
      </c>
      <c r="E21" s="4" t="s">
        <v>85</v>
      </c>
      <c r="F21" s="4" t="s">
        <v>138</v>
      </c>
      <c r="G21" s="4" t="s">
        <v>121</v>
      </c>
      <c r="H21" s="4" t="s">
        <v>139</v>
      </c>
    </row>
    <row r="22" spans="1:8" x14ac:dyDescent="0.25">
      <c r="A22" s="2" t="s">
        <v>140</v>
      </c>
      <c r="B22" s="4" t="s">
        <v>141</v>
      </c>
      <c r="C22" s="21">
        <v>0</v>
      </c>
      <c r="D22" s="4" t="s">
        <v>100</v>
      </c>
      <c r="E22" s="4" t="s">
        <v>95</v>
      </c>
      <c r="F22" s="4" t="s">
        <v>142</v>
      </c>
      <c r="G22" s="4" t="s">
        <v>81</v>
      </c>
      <c r="H22" s="4" t="s">
        <v>97</v>
      </c>
    </row>
    <row r="23" spans="1:8" x14ac:dyDescent="0.25">
      <c r="A23" s="2" t="s">
        <v>143</v>
      </c>
      <c r="B23" s="4" t="s">
        <v>144</v>
      </c>
      <c r="C23" s="18">
        <v>1</v>
      </c>
      <c r="D23" s="4" t="s">
        <v>145</v>
      </c>
      <c r="E23" s="4" t="s">
        <v>95</v>
      </c>
      <c r="F23" s="4" t="s">
        <v>146</v>
      </c>
      <c r="G23" s="4" t="s">
        <v>147</v>
      </c>
      <c r="H23" s="4" t="s">
        <v>76</v>
      </c>
    </row>
    <row r="24" spans="1:8" x14ac:dyDescent="0.25">
      <c r="A24" s="2" t="s">
        <v>148</v>
      </c>
      <c r="B24" s="4" t="s">
        <v>149</v>
      </c>
      <c r="C24" s="18">
        <v>0</v>
      </c>
      <c r="D24" s="4" t="s">
        <v>145</v>
      </c>
      <c r="E24" s="4" t="s">
        <v>95</v>
      </c>
      <c r="F24" s="4" t="s">
        <v>150</v>
      </c>
      <c r="G24" s="4" t="s">
        <v>81</v>
      </c>
      <c r="H24" s="4" t="s">
        <v>97</v>
      </c>
    </row>
    <row r="25" spans="1:8" x14ac:dyDescent="0.25">
      <c r="A25" s="2" t="s">
        <v>151</v>
      </c>
      <c r="B25" s="4" t="s">
        <v>152</v>
      </c>
      <c r="C25" s="20">
        <v>92.5</v>
      </c>
      <c r="D25" s="4" t="s">
        <v>119</v>
      </c>
      <c r="E25" s="4" t="s">
        <v>95</v>
      </c>
      <c r="F25" s="4" t="s">
        <v>153</v>
      </c>
      <c r="G25" s="4" t="s">
        <v>147</v>
      </c>
      <c r="H25" s="4" t="s">
        <v>103</v>
      </c>
    </row>
    <row r="26" spans="1:8" x14ac:dyDescent="0.25">
      <c r="A26" s="2" t="s">
        <v>154</v>
      </c>
      <c r="B26" s="4" t="s">
        <v>155</v>
      </c>
      <c r="C26" s="21">
        <v>0.15</v>
      </c>
      <c r="D26" s="4" t="s">
        <v>94</v>
      </c>
      <c r="E26" s="4" t="s">
        <v>95</v>
      </c>
      <c r="F26" s="4" t="s">
        <v>156</v>
      </c>
      <c r="G26" s="4" t="s">
        <v>75</v>
      </c>
      <c r="H26" s="4" t="s">
        <v>103</v>
      </c>
    </row>
    <row r="27" spans="1:8" x14ac:dyDescent="0.25">
      <c r="A27" s="2" t="s">
        <v>157</v>
      </c>
      <c r="B27" s="4" t="s">
        <v>158</v>
      </c>
      <c r="C27" s="20">
        <v>15</v>
      </c>
      <c r="D27" s="4" t="s">
        <v>106</v>
      </c>
      <c r="E27" s="4" t="s">
        <v>85</v>
      </c>
      <c r="F27" s="4" t="s">
        <v>159</v>
      </c>
      <c r="G27" s="4" t="s">
        <v>147</v>
      </c>
      <c r="H27" s="4" t="s">
        <v>160</v>
      </c>
    </row>
    <row r="28" spans="1:8" x14ac:dyDescent="0.25">
      <c r="A28" s="2" t="s">
        <v>161</v>
      </c>
      <c r="B28" s="4" t="s">
        <v>162</v>
      </c>
      <c r="C28" s="20">
        <v>3</v>
      </c>
      <c r="D28" s="4" t="s">
        <v>163</v>
      </c>
      <c r="E28" s="4" t="s">
        <v>164</v>
      </c>
      <c r="F28" s="4" t="s">
        <v>165</v>
      </c>
      <c r="G28" s="4" t="s">
        <v>102</v>
      </c>
      <c r="H28" s="4" t="s">
        <v>103</v>
      </c>
    </row>
    <row r="29" spans="1:8" x14ac:dyDescent="0.25">
      <c r="A29" s="2" t="s">
        <v>166</v>
      </c>
      <c r="B29" s="4" t="s">
        <v>167</v>
      </c>
      <c r="C29" s="18">
        <v>0</v>
      </c>
      <c r="D29" s="4" t="s">
        <v>145</v>
      </c>
      <c r="E29" s="4" t="s">
        <v>95</v>
      </c>
      <c r="F29" s="4" t="s">
        <v>168</v>
      </c>
      <c r="G29" s="4" t="s">
        <v>169</v>
      </c>
      <c r="H29" s="4" t="s">
        <v>170</v>
      </c>
    </row>
    <row r="30" spans="1:8" x14ac:dyDescent="0.25">
      <c r="A30" s="2" t="s">
        <v>171</v>
      </c>
      <c r="B30" s="4" t="s">
        <v>172</v>
      </c>
      <c r="C30" s="20">
        <v>310</v>
      </c>
      <c r="D30" s="4" t="s">
        <v>110</v>
      </c>
      <c r="E30" s="4" t="s">
        <v>85</v>
      </c>
      <c r="F30" s="4" t="s">
        <v>173</v>
      </c>
      <c r="G30" s="4" t="s">
        <v>169</v>
      </c>
      <c r="H30" s="4" t="s">
        <v>160</v>
      </c>
    </row>
    <row r="31" spans="1:8" x14ac:dyDescent="0.25">
      <c r="B31" s="3" t="s">
        <v>174</v>
      </c>
    </row>
    <row r="32" spans="1:8" x14ac:dyDescent="0.25">
      <c r="A32" s="2" t="s">
        <v>175</v>
      </c>
      <c r="B32" s="4" t="s">
        <v>176</v>
      </c>
      <c r="C32" s="20">
        <v>10</v>
      </c>
      <c r="D32" s="4" t="s">
        <v>177</v>
      </c>
      <c r="E32" s="4" t="s">
        <v>111</v>
      </c>
      <c r="F32" s="4" t="s">
        <v>178</v>
      </c>
      <c r="G32" s="4" t="s">
        <v>102</v>
      </c>
      <c r="H32" s="4" t="s">
        <v>103</v>
      </c>
    </row>
    <row r="33" spans="1:8" x14ac:dyDescent="0.25">
      <c r="A33" s="2" t="s">
        <v>179</v>
      </c>
      <c r="B33" s="4" t="s">
        <v>180</v>
      </c>
      <c r="C33" s="20">
        <v>2.5</v>
      </c>
      <c r="D33" s="4" t="s">
        <v>177</v>
      </c>
      <c r="E33" s="4" t="s">
        <v>95</v>
      </c>
      <c r="F33" s="4" t="s">
        <v>181</v>
      </c>
      <c r="G33" s="4" t="s">
        <v>81</v>
      </c>
      <c r="H33" s="4" t="s">
        <v>97</v>
      </c>
    </row>
    <row r="34" spans="1:8" x14ac:dyDescent="0.25">
      <c r="A34" s="2" t="s">
        <v>182</v>
      </c>
      <c r="B34" s="4" t="s">
        <v>183</v>
      </c>
      <c r="C34" s="20">
        <v>4</v>
      </c>
      <c r="D34" s="4" t="s">
        <v>177</v>
      </c>
      <c r="E34" s="4" t="s">
        <v>164</v>
      </c>
      <c r="F34" s="4" t="s">
        <v>184</v>
      </c>
      <c r="G34" s="4" t="s">
        <v>185</v>
      </c>
      <c r="H34" s="4" t="s">
        <v>103</v>
      </c>
    </row>
    <row r="35" spans="1:8" x14ac:dyDescent="0.25">
      <c r="A35" s="2" t="s">
        <v>186</v>
      </c>
      <c r="B35" s="4" t="s">
        <v>187</v>
      </c>
      <c r="C35" s="19">
        <v>20000</v>
      </c>
      <c r="D35" s="4" t="s">
        <v>188</v>
      </c>
      <c r="E35" s="4" t="s">
        <v>95</v>
      </c>
      <c r="F35" s="4" t="s">
        <v>189</v>
      </c>
      <c r="G35" s="4" t="s">
        <v>81</v>
      </c>
      <c r="H35" s="4" t="s">
        <v>97</v>
      </c>
    </row>
    <row r="36" spans="1:8" x14ac:dyDescent="0.25">
      <c r="A36" s="2" t="s">
        <v>190</v>
      </c>
      <c r="B36" s="4" t="s">
        <v>191</v>
      </c>
      <c r="C36" s="19">
        <v>2000</v>
      </c>
      <c r="D36" s="4" t="s">
        <v>188</v>
      </c>
      <c r="E36" s="4" t="s">
        <v>111</v>
      </c>
      <c r="F36" s="4" t="s">
        <v>192</v>
      </c>
      <c r="G36" s="4" t="s">
        <v>193</v>
      </c>
      <c r="H36" s="4" t="s">
        <v>103</v>
      </c>
    </row>
    <row r="37" spans="1:8" x14ac:dyDescent="0.25">
      <c r="A37" s="2" t="s">
        <v>194</v>
      </c>
      <c r="B37" s="4" t="s">
        <v>195</v>
      </c>
      <c r="C37" s="20">
        <v>4</v>
      </c>
      <c r="D37" s="4" t="s">
        <v>177</v>
      </c>
      <c r="E37" s="4" t="s">
        <v>95</v>
      </c>
      <c r="F37" s="4" t="s">
        <v>196</v>
      </c>
      <c r="G37" s="4" t="s">
        <v>81</v>
      </c>
      <c r="H37" s="4" t="s">
        <v>97</v>
      </c>
    </row>
    <row r="38" spans="1:8" x14ac:dyDescent="0.25">
      <c r="A38" s="2" t="s">
        <v>197</v>
      </c>
      <c r="B38" s="4" t="s">
        <v>198</v>
      </c>
      <c r="C38" s="17">
        <v>20000</v>
      </c>
      <c r="D38" s="4" t="s">
        <v>188</v>
      </c>
      <c r="E38" s="4" t="s">
        <v>95</v>
      </c>
      <c r="F38" s="4" t="s">
        <v>199</v>
      </c>
      <c r="G38" s="4" t="s">
        <v>81</v>
      </c>
      <c r="H38" s="4" t="s">
        <v>97</v>
      </c>
    </row>
    <row r="39" spans="1:8" x14ac:dyDescent="0.25">
      <c r="A39" s="2" t="s">
        <v>200</v>
      </c>
      <c r="B39" s="4" t="s">
        <v>201</v>
      </c>
      <c r="C39" s="21">
        <v>0.02</v>
      </c>
      <c r="D39" s="4" t="s">
        <v>100</v>
      </c>
      <c r="E39" s="4" t="s">
        <v>95</v>
      </c>
      <c r="F39" s="4"/>
      <c r="G39" s="4" t="s">
        <v>81</v>
      </c>
      <c r="H39" s="4" t="s">
        <v>103</v>
      </c>
    </row>
    <row r="40" spans="1:8" x14ac:dyDescent="0.25">
      <c r="B40" s="3" t="s">
        <v>202</v>
      </c>
    </row>
    <row r="41" spans="1:8" x14ac:dyDescent="0.25">
      <c r="A41" s="2" t="s">
        <v>203</v>
      </c>
      <c r="B41" s="4" t="s">
        <v>204</v>
      </c>
      <c r="C41" s="22">
        <v>0.2387</v>
      </c>
      <c r="D41" s="4" t="s">
        <v>94</v>
      </c>
      <c r="E41" s="4" t="s">
        <v>85</v>
      </c>
      <c r="F41" s="4" t="s">
        <v>205</v>
      </c>
      <c r="G41" s="4" t="s">
        <v>206</v>
      </c>
      <c r="H41" s="4" t="s">
        <v>87</v>
      </c>
    </row>
    <row r="42" spans="1:8" x14ac:dyDescent="0.25">
      <c r="A42" s="2" t="s">
        <v>207</v>
      </c>
      <c r="B42" s="4" t="s">
        <v>208</v>
      </c>
      <c r="C42" s="20">
        <v>20</v>
      </c>
      <c r="D42" s="4" t="s">
        <v>106</v>
      </c>
      <c r="E42" s="4" t="s">
        <v>85</v>
      </c>
      <c r="F42" s="4" t="s">
        <v>209</v>
      </c>
      <c r="G42" s="4" t="s">
        <v>210</v>
      </c>
      <c r="H42" s="4" t="s">
        <v>103</v>
      </c>
    </row>
    <row r="43" spans="1:8" x14ac:dyDescent="0.25">
      <c r="A43" s="2" t="s">
        <v>211</v>
      </c>
      <c r="B43" s="4" t="s">
        <v>212</v>
      </c>
      <c r="C43" s="21">
        <v>5.0000000000000001E-3</v>
      </c>
      <c r="D43" s="4" t="s">
        <v>94</v>
      </c>
      <c r="E43" s="4" t="s">
        <v>85</v>
      </c>
      <c r="F43" s="4" t="s">
        <v>213</v>
      </c>
      <c r="G43" s="4" t="s">
        <v>185</v>
      </c>
      <c r="H43" s="4" t="s">
        <v>87</v>
      </c>
    </row>
    <row r="44" spans="1:8" x14ac:dyDescent="0.25">
      <c r="A44" s="2" t="s">
        <v>214</v>
      </c>
      <c r="B44" s="4" t="s">
        <v>215</v>
      </c>
      <c r="C44" s="20">
        <v>535</v>
      </c>
      <c r="D44" s="4" t="s">
        <v>188</v>
      </c>
      <c r="E44" s="4" t="s">
        <v>85</v>
      </c>
      <c r="F44" s="4" t="s">
        <v>216</v>
      </c>
      <c r="G44" s="4" t="s">
        <v>217</v>
      </c>
      <c r="H44" s="4" t="s">
        <v>87</v>
      </c>
    </row>
    <row r="45" spans="1:8" x14ac:dyDescent="0.25">
      <c r="A45" s="2" t="s">
        <v>218</v>
      </c>
      <c r="B45" s="4" t="s">
        <v>219</v>
      </c>
      <c r="C45" s="19">
        <v>1605</v>
      </c>
      <c r="D45" s="4" t="s">
        <v>188</v>
      </c>
      <c r="E45" s="4" t="s">
        <v>85</v>
      </c>
      <c r="F45" s="4" t="s">
        <v>220</v>
      </c>
      <c r="G45" s="4" t="s">
        <v>217</v>
      </c>
      <c r="H45" s="4" t="s">
        <v>87</v>
      </c>
    </row>
    <row r="46" spans="1:8" x14ac:dyDescent="0.25">
      <c r="A46" s="2" t="s">
        <v>221</v>
      </c>
      <c r="B46" s="4" t="s">
        <v>222</v>
      </c>
      <c r="C46" s="19">
        <v>4815</v>
      </c>
      <c r="D46" s="4" t="s">
        <v>188</v>
      </c>
      <c r="E46" s="4" t="s">
        <v>85</v>
      </c>
      <c r="F46" s="4" t="s">
        <v>220</v>
      </c>
      <c r="G46" s="4" t="s">
        <v>217</v>
      </c>
      <c r="H46" s="4" t="s">
        <v>87</v>
      </c>
    </row>
    <row r="47" spans="1:8" x14ac:dyDescent="0.25">
      <c r="A47" s="2" t="s">
        <v>223</v>
      </c>
      <c r="B47" s="4" t="s">
        <v>224</v>
      </c>
      <c r="C47" s="19">
        <v>350000</v>
      </c>
      <c r="D47" s="4" t="s">
        <v>225</v>
      </c>
      <c r="E47" s="4" t="s">
        <v>85</v>
      </c>
      <c r="F47" s="4" t="s">
        <v>220</v>
      </c>
      <c r="G47" s="4" t="s">
        <v>217</v>
      </c>
      <c r="H47" s="4" t="s">
        <v>87</v>
      </c>
    </row>
    <row r="48" spans="1:8" x14ac:dyDescent="0.25">
      <c r="A48" s="2" t="s">
        <v>226</v>
      </c>
      <c r="B48" s="4" t="s">
        <v>227</v>
      </c>
      <c r="C48" s="19">
        <v>2000000</v>
      </c>
      <c r="D48" s="4" t="s">
        <v>225</v>
      </c>
      <c r="E48" s="4" t="s">
        <v>85</v>
      </c>
      <c r="F48" s="4" t="s">
        <v>220</v>
      </c>
      <c r="G48" s="4" t="s">
        <v>217</v>
      </c>
      <c r="H48" s="4" t="s">
        <v>87</v>
      </c>
    </row>
    <row r="49" spans="1:8" x14ac:dyDescent="0.25">
      <c r="B49" s="3" t="s">
        <v>228</v>
      </c>
    </row>
    <row r="50" spans="1:8" x14ac:dyDescent="0.25">
      <c r="A50" s="2" t="s">
        <v>229</v>
      </c>
      <c r="B50" s="4" t="s">
        <v>230</v>
      </c>
      <c r="C50" s="23">
        <v>6.5000000000000002E-2</v>
      </c>
      <c r="D50" s="4" t="s">
        <v>94</v>
      </c>
      <c r="E50" s="4" t="s">
        <v>111</v>
      </c>
      <c r="F50" s="4" t="s">
        <v>231</v>
      </c>
      <c r="G50" s="4" t="s">
        <v>125</v>
      </c>
      <c r="H50" s="4" t="s">
        <v>103</v>
      </c>
    </row>
    <row r="51" spans="1:8" x14ac:dyDescent="0.25">
      <c r="A51" s="2" t="s">
        <v>232</v>
      </c>
      <c r="B51" s="4" t="s">
        <v>233</v>
      </c>
      <c r="C51" s="18">
        <v>15</v>
      </c>
      <c r="D51" s="4" t="s">
        <v>106</v>
      </c>
      <c r="E51" s="4" t="s">
        <v>95</v>
      </c>
      <c r="F51" s="4" t="s">
        <v>234</v>
      </c>
      <c r="G51" s="4" t="s">
        <v>81</v>
      </c>
      <c r="H51" s="4" t="s">
        <v>76</v>
      </c>
    </row>
    <row r="52" spans="1:8" x14ac:dyDescent="0.25">
      <c r="A52" s="2" t="s">
        <v>235</v>
      </c>
      <c r="B52" s="4" t="s">
        <v>236</v>
      </c>
      <c r="C52" s="18">
        <v>1.3</v>
      </c>
      <c r="D52" s="4" t="s">
        <v>237</v>
      </c>
      <c r="E52" s="4" t="s">
        <v>95</v>
      </c>
      <c r="F52" s="4" t="s">
        <v>238</v>
      </c>
      <c r="G52" s="4" t="s">
        <v>81</v>
      </c>
      <c r="H52" s="4" t="s">
        <v>76</v>
      </c>
    </row>
    <row r="53" spans="1:8" x14ac:dyDescent="0.25">
      <c r="A53" s="2" t="s">
        <v>239</v>
      </c>
      <c r="B53" s="4" t="s">
        <v>240</v>
      </c>
      <c r="C53" s="18">
        <v>1</v>
      </c>
      <c r="D53" s="4" t="s">
        <v>145</v>
      </c>
      <c r="E53" s="4" t="s">
        <v>95</v>
      </c>
      <c r="F53" s="4"/>
      <c r="G53" s="4" t="s">
        <v>81</v>
      </c>
      <c r="H53" s="4" t="s">
        <v>76</v>
      </c>
    </row>
    <row r="54" spans="1:8" x14ac:dyDescent="0.25">
      <c r="A54" s="2" t="s">
        <v>241</v>
      </c>
      <c r="B54" s="4" t="s">
        <v>242</v>
      </c>
      <c r="C54" s="18">
        <v>1</v>
      </c>
      <c r="D54" s="4" t="s">
        <v>145</v>
      </c>
      <c r="E54" s="4" t="s">
        <v>95</v>
      </c>
      <c r="F54" s="4" t="s">
        <v>243</v>
      </c>
      <c r="G54" s="4" t="s">
        <v>81</v>
      </c>
      <c r="H54" s="4" t="s">
        <v>76</v>
      </c>
    </row>
    <row r="55" spans="1:8" x14ac:dyDescent="0.25">
      <c r="A55" s="2" t="s">
        <v>244</v>
      </c>
      <c r="B55" s="4" t="s">
        <v>245</v>
      </c>
      <c r="C55" s="18">
        <v>2</v>
      </c>
      <c r="D55" s="4" t="s">
        <v>145</v>
      </c>
      <c r="E55" s="4" t="s">
        <v>95</v>
      </c>
      <c r="F55" s="4" t="s">
        <v>246</v>
      </c>
      <c r="G55" s="4" t="s">
        <v>81</v>
      </c>
      <c r="H55" s="4" t="s">
        <v>76</v>
      </c>
    </row>
    <row r="56" spans="1:8" x14ac:dyDescent="0.25">
      <c r="A56" s="2" t="s">
        <v>247</v>
      </c>
      <c r="B56" s="4" t="s">
        <v>248</v>
      </c>
      <c r="C56" s="17">
        <v>2000000</v>
      </c>
      <c r="D56" s="4" t="s">
        <v>225</v>
      </c>
      <c r="E56" s="4" t="s">
        <v>95</v>
      </c>
      <c r="F56" s="4" t="s">
        <v>249</v>
      </c>
      <c r="G56" s="4" t="s">
        <v>81</v>
      </c>
      <c r="H56" s="4" t="s">
        <v>76</v>
      </c>
    </row>
    <row r="57" spans="1:8" x14ac:dyDescent="0.25">
      <c r="A57" s="2" t="s">
        <v>250</v>
      </c>
      <c r="B57" s="4" t="s">
        <v>251</v>
      </c>
      <c r="C57" s="20">
        <v>500</v>
      </c>
      <c r="D57" s="4" t="s">
        <v>225</v>
      </c>
      <c r="E57" s="4" t="s">
        <v>95</v>
      </c>
      <c r="F57" s="4" t="s">
        <v>252</v>
      </c>
      <c r="G57" s="4" t="s">
        <v>81</v>
      </c>
      <c r="H57" s="4" t="s">
        <v>76</v>
      </c>
    </row>
    <row r="58" spans="1:8" x14ac:dyDescent="0.25">
      <c r="A58" s="2" t="s">
        <v>253</v>
      </c>
      <c r="B58" s="4" t="s">
        <v>254</v>
      </c>
      <c r="C58" s="20">
        <v>6</v>
      </c>
      <c r="D58" s="4" t="s">
        <v>255</v>
      </c>
      <c r="E58" s="4" t="s">
        <v>95</v>
      </c>
      <c r="F58" s="4" t="s">
        <v>256</v>
      </c>
      <c r="G58" s="4" t="s">
        <v>81</v>
      </c>
      <c r="H58" s="4" t="s">
        <v>76</v>
      </c>
    </row>
    <row r="59" spans="1:8" x14ac:dyDescent="0.25">
      <c r="A59" s="2" t="s">
        <v>257</v>
      </c>
      <c r="B59" s="4" t="s">
        <v>258</v>
      </c>
      <c r="C59" s="20">
        <v>1.1000000000000001</v>
      </c>
      <c r="D59" s="4" t="s">
        <v>237</v>
      </c>
      <c r="E59" s="4" t="s">
        <v>95</v>
      </c>
      <c r="F59" s="4" t="s">
        <v>259</v>
      </c>
      <c r="G59" s="4" t="s">
        <v>81</v>
      </c>
      <c r="H59" s="4" t="s">
        <v>103</v>
      </c>
    </row>
    <row r="60" spans="1:8" x14ac:dyDescent="0.25">
      <c r="A60" s="2" t="s">
        <v>260</v>
      </c>
      <c r="B60" s="4" t="s">
        <v>261</v>
      </c>
      <c r="C60" s="21">
        <v>0.05</v>
      </c>
      <c r="D60" s="4" t="s">
        <v>262</v>
      </c>
      <c r="E60" s="4" t="s">
        <v>263</v>
      </c>
      <c r="F60" s="4" t="s">
        <v>264</v>
      </c>
      <c r="G60" s="4" t="s">
        <v>265</v>
      </c>
      <c r="H60" s="4" t="s">
        <v>103</v>
      </c>
    </row>
    <row r="61" spans="1:8" x14ac:dyDescent="0.25">
      <c r="A61" s="2" t="s">
        <v>266</v>
      </c>
      <c r="B61" s="4" t="s">
        <v>267</v>
      </c>
      <c r="C61" s="19">
        <v>60000</v>
      </c>
      <c r="D61" s="4" t="s">
        <v>225</v>
      </c>
      <c r="E61" s="4" t="s">
        <v>95</v>
      </c>
      <c r="F61" s="4"/>
      <c r="G61" s="4" t="s">
        <v>81</v>
      </c>
      <c r="H61" s="4" t="s">
        <v>97</v>
      </c>
    </row>
    <row r="62" spans="1:8" x14ac:dyDescent="0.25">
      <c r="A62" s="2" t="s">
        <v>268</v>
      </c>
      <c r="B62" s="4" t="s">
        <v>269</v>
      </c>
      <c r="C62" s="19">
        <v>40000</v>
      </c>
      <c r="D62" s="4" t="s">
        <v>225</v>
      </c>
      <c r="E62" s="4" t="s">
        <v>95</v>
      </c>
      <c r="F62" s="4" t="s">
        <v>270</v>
      </c>
      <c r="G62" s="4" t="s">
        <v>81</v>
      </c>
      <c r="H62" s="4" t="s">
        <v>97</v>
      </c>
    </row>
    <row r="63" spans="1:8" x14ac:dyDescent="0.25">
      <c r="B63" s="3" t="s">
        <v>271</v>
      </c>
    </row>
    <row r="64" spans="1:8" x14ac:dyDescent="0.25">
      <c r="A64" s="2" t="s">
        <v>272</v>
      </c>
      <c r="B64" s="4" t="s">
        <v>273</v>
      </c>
      <c r="C64" s="18">
        <v>2</v>
      </c>
      <c r="D64" s="4" t="s">
        <v>79</v>
      </c>
      <c r="E64" s="4" t="s">
        <v>95</v>
      </c>
      <c r="F64" s="4" t="s">
        <v>274</v>
      </c>
      <c r="G64" s="4" t="s">
        <v>81</v>
      </c>
      <c r="H64" s="4" t="s">
        <v>76</v>
      </c>
    </row>
    <row r="65" spans="1:8" x14ac:dyDescent="0.25">
      <c r="A65" s="2" t="s">
        <v>275</v>
      </c>
      <c r="B65" s="4" t="s">
        <v>276</v>
      </c>
      <c r="C65" s="18">
        <v>5</v>
      </c>
      <c r="D65" s="4" t="s">
        <v>277</v>
      </c>
      <c r="E65" s="4" t="s">
        <v>95</v>
      </c>
      <c r="F65" s="4" t="s">
        <v>274</v>
      </c>
      <c r="G65" s="4" t="s">
        <v>81</v>
      </c>
      <c r="H65" s="4" t="s">
        <v>76</v>
      </c>
    </row>
    <row r="66" spans="1:8" x14ac:dyDescent="0.25">
      <c r="A66" s="2" t="s">
        <v>278</v>
      </c>
      <c r="B66" s="4" t="s">
        <v>279</v>
      </c>
      <c r="C66" s="18">
        <v>1</v>
      </c>
      <c r="D66" s="4" t="s">
        <v>280</v>
      </c>
      <c r="E66" s="4" t="s">
        <v>95</v>
      </c>
      <c r="F66" s="4" t="s">
        <v>281</v>
      </c>
      <c r="G66" s="4" t="s">
        <v>81</v>
      </c>
      <c r="H66" s="4" t="s">
        <v>76</v>
      </c>
    </row>
    <row r="67" spans="1:8" x14ac:dyDescent="0.25">
      <c r="A67" s="2" t="s">
        <v>282</v>
      </c>
      <c r="B67" s="4" t="s">
        <v>283</v>
      </c>
      <c r="C67" s="23">
        <v>0</v>
      </c>
      <c r="D67" s="4" t="s">
        <v>94</v>
      </c>
      <c r="E67" s="4" t="s">
        <v>95</v>
      </c>
      <c r="F67" s="4" t="s">
        <v>284</v>
      </c>
      <c r="G67" s="4" t="s">
        <v>81</v>
      </c>
      <c r="H67" s="4" t="s">
        <v>76</v>
      </c>
    </row>
    <row r="68" spans="1:8" x14ac:dyDescent="0.25">
      <c r="B68" s="3" t="s">
        <v>285</v>
      </c>
    </row>
    <row r="69" spans="1:8" x14ac:dyDescent="0.25">
      <c r="A69" s="2" t="s">
        <v>286</v>
      </c>
      <c r="B69" s="4" t="s">
        <v>287</v>
      </c>
      <c r="C69" s="21">
        <v>7.4999999999999997E-2</v>
      </c>
      <c r="D69" s="4" t="s">
        <v>94</v>
      </c>
      <c r="E69" s="4" t="s">
        <v>111</v>
      </c>
      <c r="F69" s="4" t="s">
        <v>288</v>
      </c>
      <c r="G69" s="4" t="s">
        <v>289</v>
      </c>
      <c r="H69" s="4" t="s">
        <v>103</v>
      </c>
    </row>
    <row r="70" spans="1:8" x14ac:dyDescent="0.25">
      <c r="A70" s="2" t="s">
        <v>290</v>
      </c>
      <c r="B70" s="4" t="s">
        <v>291</v>
      </c>
      <c r="C70" s="20">
        <v>4</v>
      </c>
      <c r="D70" s="4" t="s">
        <v>106</v>
      </c>
      <c r="E70" s="4" t="s">
        <v>95</v>
      </c>
      <c r="F70" s="4"/>
      <c r="G70" s="4" t="s">
        <v>81</v>
      </c>
      <c r="H70" s="4" t="s">
        <v>76</v>
      </c>
    </row>
    <row r="71" spans="1:8" x14ac:dyDescent="0.25">
      <c r="A71" s="2" t="s">
        <v>292</v>
      </c>
      <c r="B71" s="3" t="s">
        <v>293</v>
      </c>
      <c r="C71" s="24">
        <f>Inputs!$C$6*Inputs!$C$7</f>
        <v>6000</v>
      </c>
      <c r="D71" s="4" t="s">
        <v>72</v>
      </c>
      <c r="E71" s="4" t="s">
        <v>111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0"/>
  <sheetViews>
    <sheetView showGridLines="0" workbookViewId="0"/>
  </sheetViews>
  <sheetFormatPr defaultRowHeight="15" x14ac:dyDescent="0.25"/>
  <cols>
    <col min="1" max="1" width="48" customWidth="1"/>
    <col min="2" max="2" width="4" customWidth="1"/>
    <col min="3" max="3" width="16" customWidth="1"/>
  </cols>
  <sheetData>
    <row r="1" spans="1:3" ht="16.5" x14ac:dyDescent="0.25">
      <c r="A1" s="1" t="s">
        <v>294</v>
      </c>
    </row>
    <row r="2" spans="1:3" x14ac:dyDescent="0.25">
      <c r="A2" s="2" t="s">
        <v>295</v>
      </c>
    </row>
    <row r="4" spans="1:3" x14ac:dyDescent="0.25">
      <c r="A4" s="3" t="s">
        <v>296</v>
      </c>
    </row>
    <row r="5" spans="1:3" x14ac:dyDescent="0.25">
      <c r="A5" s="4" t="s">
        <v>297</v>
      </c>
      <c r="C5" s="5">
        <f>Inputs!$C$71*Inputs!$C$13</f>
        <v>4800000</v>
      </c>
    </row>
    <row r="6" spans="1:3" x14ac:dyDescent="0.25">
      <c r="A6" s="4" t="s">
        <v>298</v>
      </c>
      <c r="C6" s="5">
        <f>Debt!C22*Inputs!$C$60+Inputs!$C$61+Inputs!$C$62</f>
        <v>200000</v>
      </c>
    </row>
    <row r="7" spans="1:3" x14ac:dyDescent="0.25">
      <c r="A7" s="4" t="s">
        <v>299</v>
      </c>
      <c r="C7" s="5">
        <f>Inputs!$C$58/12*Debt!D17</f>
        <v>106352.78296506248</v>
      </c>
    </row>
    <row r="8" spans="1:3" x14ac:dyDescent="0.25">
      <c r="A8" s="3" t="s">
        <v>8</v>
      </c>
      <c r="C8" s="25">
        <f>SUM(C5:C7)</f>
        <v>5106352.7829650622</v>
      </c>
    </row>
    <row r="10" spans="1:3" x14ac:dyDescent="0.25">
      <c r="A10" s="3" t="s">
        <v>300</v>
      </c>
    </row>
    <row r="11" spans="1:3" x14ac:dyDescent="0.25">
      <c r="A11" s="26" t="s">
        <v>301</v>
      </c>
      <c r="C11" s="27">
        <f>Debt!C22</f>
        <v>2000000</v>
      </c>
    </row>
    <row r="12" spans="1:3" x14ac:dyDescent="0.25">
      <c r="A12" s="4" t="s">
        <v>302</v>
      </c>
      <c r="C12" s="5">
        <f>Inputs!$C$29*Inputs!$C$71*Inputs!$C$30</f>
        <v>0</v>
      </c>
    </row>
    <row r="15" spans="1:3" x14ac:dyDescent="0.25">
      <c r="A15" s="3" t="s">
        <v>303</v>
      </c>
      <c r="C15" s="25">
        <f>C8-C11-C12</f>
        <v>3106352.7829650622</v>
      </c>
    </row>
    <row r="16" spans="1:3" x14ac:dyDescent="0.25">
      <c r="A16" s="3" t="s">
        <v>304</v>
      </c>
      <c r="C16" s="25">
        <f>C11+C12+C15</f>
        <v>5106352.7829650622</v>
      </c>
    </row>
    <row r="18" spans="1:3" x14ac:dyDescent="0.25">
      <c r="A18" s="3" t="s">
        <v>305</v>
      </c>
      <c r="C18" s="28">
        <f>C11/C8</f>
        <v>0.39166898273696577</v>
      </c>
    </row>
    <row r="19" spans="1:3" x14ac:dyDescent="0.25">
      <c r="A19" s="4" t="s">
        <v>306</v>
      </c>
      <c r="C19" s="6">
        <f>C15/C8</f>
        <v>0.60833101726303429</v>
      </c>
    </row>
    <row r="20" spans="1:3" x14ac:dyDescent="0.25">
      <c r="A20" s="4" t="s">
        <v>307</v>
      </c>
      <c r="C20" s="5">
        <f>C16-C8</f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23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46" customWidth="1"/>
    <col min="2" max="2" width="11" customWidth="1"/>
    <col min="3" max="28" width="10.42578125" customWidth="1"/>
  </cols>
  <sheetData>
    <row r="1" spans="1:28" ht="16.5" x14ac:dyDescent="0.25">
      <c r="A1" s="1" t="s">
        <v>308</v>
      </c>
    </row>
    <row r="2" spans="1:28" x14ac:dyDescent="0.25">
      <c r="A2" s="2" t="s">
        <v>309</v>
      </c>
    </row>
    <row r="4" spans="1:28" x14ac:dyDescent="0.25">
      <c r="A4" s="3" t="s">
        <v>310</v>
      </c>
      <c r="C4" s="29">
        <v>0</v>
      </c>
      <c r="D4" s="29">
        <v>1</v>
      </c>
      <c r="E4" s="29">
        <v>2</v>
      </c>
      <c r="F4" s="29">
        <v>3</v>
      </c>
      <c r="G4" s="29">
        <v>4</v>
      </c>
      <c r="H4" s="29">
        <v>5</v>
      </c>
      <c r="I4" s="29">
        <v>6</v>
      </c>
      <c r="J4" s="29">
        <v>7</v>
      </c>
      <c r="K4" s="29">
        <v>8</v>
      </c>
      <c r="L4" s="29">
        <v>9</v>
      </c>
      <c r="M4" s="29">
        <v>10</v>
      </c>
      <c r="N4" s="29">
        <v>11</v>
      </c>
      <c r="O4" s="29">
        <v>12</v>
      </c>
      <c r="P4" s="29">
        <v>13</v>
      </c>
      <c r="Q4" s="29">
        <v>14</v>
      </c>
      <c r="R4" s="29">
        <v>15</v>
      </c>
      <c r="S4" s="29">
        <v>16</v>
      </c>
      <c r="T4" s="29">
        <v>17</v>
      </c>
      <c r="U4" s="29">
        <v>18</v>
      </c>
      <c r="V4" s="29">
        <v>19</v>
      </c>
      <c r="W4" s="29">
        <v>20</v>
      </c>
      <c r="X4" s="29">
        <v>21</v>
      </c>
      <c r="Y4" s="29">
        <v>22</v>
      </c>
      <c r="Z4" s="29">
        <v>23</v>
      </c>
      <c r="AA4" s="29">
        <v>24</v>
      </c>
      <c r="AB4" s="29">
        <v>25</v>
      </c>
    </row>
    <row r="5" spans="1:28" x14ac:dyDescent="0.25">
      <c r="A5" s="3" t="s">
        <v>311</v>
      </c>
    </row>
    <row r="6" spans="1:28" x14ac:dyDescent="0.25">
      <c r="A6" s="4" t="s">
        <v>312</v>
      </c>
      <c r="B6" s="2" t="s">
        <v>313</v>
      </c>
      <c r="D6" s="7">
        <f>IF(AND(D$4&gt;=1,D$4&lt;=Inputs!$C$51),1,0)</f>
        <v>1</v>
      </c>
      <c r="E6" s="7">
        <f>IF(AND(E$4&gt;=1,E$4&lt;=Inputs!$C$51),1,0)</f>
        <v>1</v>
      </c>
      <c r="F6" s="7">
        <f>IF(AND(F$4&gt;=1,F$4&lt;=Inputs!$C$51),1,0)</f>
        <v>1</v>
      </c>
      <c r="G6" s="7">
        <f>IF(AND(G$4&gt;=1,G$4&lt;=Inputs!$C$51),1,0)</f>
        <v>1</v>
      </c>
      <c r="H6" s="7">
        <f>IF(AND(H$4&gt;=1,H$4&lt;=Inputs!$C$51),1,0)</f>
        <v>1</v>
      </c>
      <c r="I6" s="7">
        <f>IF(AND(I$4&gt;=1,I$4&lt;=Inputs!$C$51),1,0)</f>
        <v>1</v>
      </c>
      <c r="J6" s="7">
        <f>IF(AND(J$4&gt;=1,J$4&lt;=Inputs!$C$51),1,0)</f>
        <v>1</v>
      </c>
      <c r="K6" s="7">
        <f>IF(AND(K$4&gt;=1,K$4&lt;=Inputs!$C$51),1,0)</f>
        <v>1</v>
      </c>
      <c r="L6" s="7">
        <f>IF(AND(L$4&gt;=1,L$4&lt;=Inputs!$C$51),1,0)</f>
        <v>1</v>
      </c>
      <c r="M6" s="7">
        <f>IF(AND(M$4&gt;=1,M$4&lt;=Inputs!$C$51),1,0)</f>
        <v>1</v>
      </c>
      <c r="N6" s="7">
        <f>IF(AND(N$4&gt;=1,N$4&lt;=Inputs!$C$51),1,0)</f>
        <v>1</v>
      </c>
      <c r="O6" s="7">
        <f>IF(AND(O$4&gt;=1,O$4&lt;=Inputs!$C$51),1,0)</f>
        <v>1</v>
      </c>
      <c r="P6" s="7">
        <f>IF(AND(P$4&gt;=1,P$4&lt;=Inputs!$C$51),1,0)</f>
        <v>1</v>
      </c>
      <c r="Q6" s="7">
        <f>IF(AND(Q$4&gt;=1,Q$4&lt;=Inputs!$C$51),1,0)</f>
        <v>1</v>
      </c>
      <c r="R6" s="7">
        <f>IF(AND(R$4&gt;=1,R$4&lt;=Inputs!$C$51),1,0)</f>
        <v>1</v>
      </c>
      <c r="S6" s="7">
        <f>IF(AND(S$4&gt;=1,S$4&lt;=Inputs!$C$51),1,0)</f>
        <v>0</v>
      </c>
      <c r="T6" s="7">
        <f>IF(AND(T$4&gt;=1,T$4&lt;=Inputs!$C$51),1,0)</f>
        <v>0</v>
      </c>
      <c r="U6" s="7">
        <f>IF(AND(U$4&gt;=1,U$4&lt;=Inputs!$C$51),1,0)</f>
        <v>0</v>
      </c>
      <c r="V6" s="7">
        <f>IF(AND(V$4&gt;=1,V$4&lt;=Inputs!$C$51),1,0)</f>
        <v>0</v>
      </c>
      <c r="W6" s="7">
        <f>IF(AND(W$4&gt;=1,W$4&lt;=Inputs!$C$51),1,0)</f>
        <v>0</v>
      </c>
      <c r="X6" s="7">
        <f>IF(AND(X$4&gt;=1,X$4&lt;=Inputs!$C$51),1,0)</f>
        <v>0</v>
      </c>
      <c r="Y6" s="7">
        <f>IF(AND(Y$4&gt;=1,Y$4&lt;=Inputs!$C$51),1,0)</f>
        <v>0</v>
      </c>
      <c r="Z6" s="7">
        <f>IF(AND(Z$4&gt;=1,Z$4&lt;=Inputs!$C$51),1,0)</f>
        <v>0</v>
      </c>
      <c r="AA6" s="7">
        <f>IF(AND(AA$4&gt;=1,AA$4&lt;=Inputs!$C$51),1,0)</f>
        <v>0</v>
      </c>
      <c r="AB6" s="7">
        <f>IF(AND(AB$4&gt;=1,AB$4&lt;=Inputs!$C$51),1,0)</f>
        <v>0</v>
      </c>
    </row>
    <row r="7" spans="1:28" x14ac:dyDescent="0.25">
      <c r="A7" s="4" t="s">
        <v>314</v>
      </c>
      <c r="B7" s="2" t="s">
        <v>225</v>
      </c>
      <c r="D7" s="27">
        <f>IF(Inputs!$C$54=1,'Case A'!D36,'Case B'!D36)</f>
        <v>311333.03120000003</v>
      </c>
      <c r="E7" s="27">
        <f>IF(Inputs!$C$54=1,'Case A'!E36,'Case B'!E36)</f>
        <v>311837.66647943994</v>
      </c>
      <c r="F7" s="27">
        <f>IF(Inputs!$C$54=1,'Case A'!F36,'Case B'!F36)</f>
        <v>312304.72732035542</v>
      </c>
      <c r="G7" s="27">
        <f>IF(Inputs!$C$54=1,'Case A'!G36,'Case B'!G36)</f>
        <v>312733.2666970077</v>
      </c>
      <c r="H7" s="27">
        <f>IF(Inputs!$C$54=1,'Case A'!H36,'Case B'!H36)</f>
        <v>313122.31769566605</v>
      </c>
      <c r="I7" s="27">
        <f>IF(Inputs!$C$54=1,'Case A'!I36,'Case B'!I36)</f>
        <v>313470.89311032923</v>
      </c>
      <c r="J7" s="27">
        <f>IF(Inputs!$C$54=1,'Case A'!J36,'Case B'!J36)</f>
        <v>313777.98503032618</v>
      </c>
      <c r="K7" s="27">
        <f>IF(Inputs!$C$54=1,'Case A'!K36,'Case B'!K36)</f>
        <v>314042.56441963301</v>
      </c>
      <c r="L7" s="27">
        <f>IF(Inputs!$C$54=1,'Case A'!L36,'Case B'!L36)</f>
        <v>314263.5806877407</v>
      </c>
      <c r="M7" s="27">
        <f>IF(Inputs!$C$54=1,'Case A'!M36,'Case B'!M36)</f>
        <v>314439.96125190315</v>
      </c>
      <c r="N7" s="27">
        <f>IF(Inputs!$C$54=1,'Case A'!N36,'Case B'!N36)</f>
        <v>314570.61109059543</v>
      </c>
      <c r="O7" s="27">
        <f>IF(Inputs!$C$54=1,'Case A'!O36,'Case B'!O36)</f>
        <v>314654.41228800401</v>
      </c>
      <c r="P7" s="27">
        <f>IF(Inputs!$C$54=1,'Case A'!P36,'Case B'!P36)</f>
        <v>314690.22356936987</v>
      </c>
      <c r="Q7" s="27">
        <f>IF(Inputs!$C$54=1,'Case A'!Q36,'Case B'!Q36)</f>
        <v>314676.87982700125</v>
      </c>
      <c r="R7" s="27">
        <f>IF(Inputs!$C$54=1,'Case A'!R36,'Case B'!R36)</f>
        <v>314613.19163676997</v>
      </c>
      <c r="S7" s="27">
        <f>IF(Inputs!$C$54=1,'Case A'!S36,'Case B'!S36)</f>
        <v>334990.13608422398</v>
      </c>
      <c r="T7" s="27">
        <f>IF(Inputs!$C$54=1,'Case A'!T36,'Case B'!T36)</f>
        <v>335231.93481056776</v>
      </c>
      <c r="U7" s="27">
        <f>IF(Inputs!$C$54=1,'Case A'!U36,'Case B'!U36)</f>
        <v>335427.86681275495</v>
      </c>
      <c r="V7" s="27">
        <f>IF(Inputs!$C$54=1,'Case A'!V36,'Case B'!V36)</f>
        <v>335576.80430631666</v>
      </c>
      <c r="W7" s="27">
        <f>IF(Inputs!$C$54=1,'Case A'!W36,'Case B'!W36)</f>
        <v>335677.59590201953</v>
      </c>
      <c r="X7" s="27">
        <f>IF(Inputs!$C$54=1,'Case A'!X36,'Case B'!X36)</f>
        <v>8469.5463494714804</v>
      </c>
      <c r="Y7" s="27">
        <f>IF(Inputs!$C$54=1,'Case A'!Y36,'Case B'!Y36)</f>
        <v>4442.4719810478637</v>
      </c>
      <c r="Z7" s="27">
        <f>IF(Inputs!$C$54=1,'Case A'!Z36,'Case B'!Z36)</f>
        <v>351.68478643744345</v>
      </c>
      <c r="AA7" s="27">
        <f>IF(Inputs!$C$54=1,'Case A'!AA36,'Case B'!AA36)</f>
        <v>-4829.1768100989284</v>
      </c>
      <c r="AB7" s="27">
        <f>IF(Inputs!$C$54=1,'Case A'!AB36,'Case B'!AB36)</f>
        <v>-10375.300706925773</v>
      </c>
    </row>
    <row r="8" spans="1:28" x14ac:dyDescent="0.25">
      <c r="A8" s="4" t="s">
        <v>315</v>
      </c>
      <c r="B8" s="2" t="s">
        <v>225</v>
      </c>
      <c r="D8" s="5">
        <f>D6*D7/Inputs!$C$52</f>
        <v>239486.9470769231</v>
      </c>
      <c r="E8" s="5">
        <f>E6*E7/Inputs!$C$52</f>
        <v>239875.12806110765</v>
      </c>
      <c r="F8" s="5">
        <f>F6*F7/Inputs!$C$52</f>
        <v>240234.40563104261</v>
      </c>
      <c r="G8" s="5">
        <f>G6*G7/Inputs!$C$52</f>
        <v>240564.05130539052</v>
      </c>
      <c r="H8" s="5">
        <f>H6*H7/Inputs!$C$52</f>
        <v>240863.32130435848</v>
      </c>
      <c r="I8" s="5">
        <f>I6*I7/Inputs!$C$52</f>
        <v>241131.45623871477</v>
      </c>
      <c r="J8" s="5">
        <f>J6*J7/Inputs!$C$52</f>
        <v>241367.68079255859</v>
      </c>
      <c r="K8" s="5">
        <f>K6*K7/Inputs!$C$52</f>
        <v>241571.20339971769</v>
      </c>
      <c r="L8" s="5">
        <f>L6*L7/Inputs!$C$52</f>
        <v>241741.21591364668</v>
      </c>
      <c r="M8" s="5">
        <f>M6*M7/Inputs!$C$52</f>
        <v>241876.89327069471</v>
      </c>
      <c r="N8" s="5">
        <f>N6*N7/Inputs!$C$52</f>
        <v>241977.39314661187</v>
      </c>
      <c r="O8" s="5">
        <f>O6*O7/Inputs!$C$52</f>
        <v>242041.85560615693</v>
      </c>
      <c r="P8" s="5">
        <f>P6*P7/Inputs!$C$52</f>
        <v>242069.40274566913</v>
      </c>
      <c r="Q8" s="5">
        <f>Q6*Q7/Inputs!$C$52</f>
        <v>242059.13832846249</v>
      </c>
      <c r="R8" s="5">
        <f>R6*R7/Inputs!$C$52</f>
        <v>242010.14741289997</v>
      </c>
      <c r="S8" s="5">
        <f>S6*S7/Inputs!$C$52</f>
        <v>0</v>
      </c>
      <c r="T8" s="5">
        <f>T6*T7/Inputs!$C$52</f>
        <v>0</v>
      </c>
      <c r="U8" s="5">
        <f>U6*U7/Inputs!$C$52</f>
        <v>0</v>
      </c>
      <c r="V8" s="5">
        <f>V6*V7/Inputs!$C$52</f>
        <v>0</v>
      </c>
      <c r="W8" s="5">
        <f>W6*W7/Inputs!$C$52</f>
        <v>0</v>
      </c>
      <c r="X8" s="5">
        <f>X6*X7/Inputs!$C$52</f>
        <v>0</v>
      </c>
      <c r="Y8" s="5">
        <f>Y6*Y7/Inputs!$C$52</f>
        <v>0</v>
      </c>
      <c r="Z8" s="5">
        <f>Z6*Z7/Inputs!$C$52</f>
        <v>0</v>
      </c>
      <c r="AA8" s="5">
        <f>AA6*AA7/Inputs!$C$52</f>
        <v>0</v>
      </c>
      <c r="AB8" s="5">
        <f>AB6*AB7/Inputs!$C$52</f>
        <v>0</v>
      </c>
    </row>
    <row r="9" spans="1:28" x14ac:dyDescent="0.25">
      <c r="A9" s="4" t="s">
        <v>316</v>
      </c>
      <c r="B9" s="2" t="s">
        <v>225</v>
      </c>
      <c r="D9" s="5">
        <f t="shared" ref="D9:AB9" si="0">IF(D6=1,D8,1000000000000)</f>
        <v>239486.9470769231</v>
      </c>
      <c r="E9" s="5">
        <f t="shared" si="0"/>
        <v>239875.12806110765</v>
      </c>
      <c r="F9" s="5">
        <f t="shared" si="0"/>
        <v>240234.40563104261</v>
      </c>
      <c r="G9" s="5">
        <f t="shared" si="0"/>
        <v>240564.05130539052</v>
      </c>
      <c r="H9" s="5">
        <f t="shared" si="0"/>
        <v>240863.32130435848</v>
      </c>
      <c r="I9" s="5">
        <f t="shared" si="0"/>
        <v>241131.45623871477</v>
      </c>
      <c r="J9" s="5">
        <f t="shared" si="0"/>
        <v>241367.68079255859</v>
      </c>
      <c r="K9" s="5">
        <f t="shared" si="0"/>
        <v>241571.20339971769</v>
      </c>
      <c r="L9" s="5">
        <f t="shared" si="0"/>
        <v>241741.21591364668</v>
      </c>
      <c r="M9" s="5">
        <f t="shared" si="0"/>
        <v>241876.89327069471</v>
      </c>
      <c r="N9" s="5">
        <f t="shared" si="0"/>
        <v>241977.39314661187</v>
      </c>
      <c r="O9" s="5">
        <f t="shared" si="0"/>
        <v>242041.85560615693</v>
      </c>
      <c r="P9" s="5">
        <f t="shared" si="0"/>
        <v>242069.40274566913</v>
      </c>
      <c r="Q9" s="5">
        <f t="shared" si="0"/>
        <v>242059.13832846249</v>
      </c>
      <c r="R9" s="5">
        <f t="shared" si="0"/>
        <v>242010.14741289997</v>
      </c>
      <c r="S9" s="5">
        <f t="shared" si="0"/>
        <v>1000000000000</v>
      </c>
      <c r="T9" s="5">
        <f t="shared" si="0"/>
        <v>1000000000000</v>
      </c>
      <c r="U9" s="5">
        <f t="shared" si="0"/>
        <v>1000000000000</v>
      </c>
      <c r="V9" s="5">
        <f t="shared" si="0"/>
        <v>1000000000000</v>
      </c>
      <c r="W9" s="5">
        <f t="shared" si="0"/>
        <v>1000000000000</v>
      </c>
      <c r="X9" s="5">
        <f t="shared" si="0"/>
        <v>1000000000000</v>
      </c>
      <c r="Y9" s="5">
        <f t="shared" si="0"/>
        <v>1000000000000</v>
      </c>
      <c r="Z9" s="5">
        <f t="shared" si="0"/>
        <v>1000000000000</v>
      </c>
      <c r="AA9" s="5">
        <f t="shared" si="0"/>
        <v>1000000000000</v>
      </c>
      <c r="AB9" s="5">
        <f t="shared" si="0"/>
        <v>1000000000000</v>
      </c>
    </row>
    <row r="11" spans="1:28" x14ac:dyDescent="0.25">
      <c r="A11" s="3" t="s">
        <v>317</v>
      </c>
    </row>
    <row r="12" spans="1:28" x14ac:dyDescent="0.25">
      <c r="A12" s="4" t="s">
        <v>318</v>
      </c>
      <c r="B12" s="2" t="s">
        <v>225</v>
      </c>
      <c r="D12" s="5">
        <f>$C$22</f>
        <v>2000000</v>
      </c>
      <c r="E12" s="5">
        <f t="shared" ref="E12:AB12" si="1">D16</f>
        <v>1917294.4340698752</v>
      </c>
      <c r="F12" s="5">
        <f t="shared" si="1"/>
        <v>1829213.0063542922</v>
      </c>
      <c r="G12" s="5">
        <f t="shared" si="1"/>
        <v>1735406.2858371963</v>
      </c>
      <c r="H12" s="5">
        <f t="shared" si="1"/>
        <v>1635502.1284864892</v>
      </c>
      <c r="I12" s="5">
        <f t="shared" si="1"/>
        <v>1529104.2009079861</v>
      </c>
      <c r="J12" s="5">
        <f t="shared" si="1"/>
        <v>1415790.4080368802</v>
      </c>
      <c r="K12" s="5">
        <f t="shared" si="1"/>
        <v>1295111.2186291525</v>
      </c>
      <c r="L12" s="5">
        <f t="shared" si="1"/>
        <v>1166587.8819099225</v>
      </c>
      <c r="M12" s="5">
        <f t="shared" si="1"/>
        <v>1029710.5283039424</v>
      </c>
      <c r="N12" s="5">
        <f t="shared" si="1"/>
        <v>883936.14671357372</v>
      </c>
      <c r="O12" s="5">
        <f t="shared" si="1"/>
        <v>728686.43031983101</v>
      </c>
      <c r="P12" s="5">
        <f t="shared" si="1"/>
        <v>563345.48236049502</v>
      </c>
      <c r="Q12" s="5">
        <f t="shared" si="1"/>
        <v>387257.37278380222</v>
      </c>
      <c r="R12" s="5">
        <f t="shared" si="1"/>
        <v>199723.53608462441</v>
      </c>
      <c r="S12" s="5">
        <f t="shared" si="1"/>
        <v>0</v>
      </c>
      <c r="T12" s="5">
        <f t="shared" si="1"/>
        <v>0</v>
      </c>
      <c r="U12" s="5">
        <f t="shared" si="1"/>
        <v>0</v>
      </c>
      <c r="V12" s="5">
        <f t="shared" si="1"/>
        <v>0</v>
      </c>
      <c r="W12" s="5">
        <f t="shared" si="1"/>
        <v>0</v>
      </c>
      <c r="X12" s="5">
        <f t="shared" si="1"/>
        <v>0</v>
      </c>
      <c r="Y12" s="5">
        <f t="shared" si="1"/>
        <v>0</v>
      </c>
      <c r="Z12" s="5">
        <f t="shared" si="1"/>
        <v>0</v>
      </c>
      <c r="AA12" s="5">
        <f t="shared" si="1"/>
        <v>0</v>
      </c>
      <c r="AB12" s="5">
        <f t="shared" si="1"/>
        <v>0</v>
      </c>
    </row>
    <row r="13" spans="1:28" x14ac:dyDescent="0.25">
      <c r="A13" s="4" t="s">
        <v>319</v>
      </c>
      <c r="B13" s="2" t="s">
        <v>225</v>
      </c>
      <c r="D13" s="5">
        <f>D6*IF(Inputs!$C$53=1,PMT(Inputs!$C$50,Inputs!$C$51,-$C$22),IF($C$20&gt;0,D8*$C$22/$C$20,0))</f>
        <v>212705.56593012495</v>
      </c>
      <c r="E13" s="5">
        <f>E6*IF(Inputs!$C$53=1,PMT(Inputs!$C$50,Inputs!$C$51,-$C$22),IF($C$20&gt;0,E8*$C$22/$C$20,0))</f>
        <v>212705.56593012495</v>
      </c>
      <c r="F13" s="5">
        <f>F6*IF(Inputs!$C$53=1,PMT(Inputs!$C$50,Inputs!$C$51,-$C$22),IF($C$20&gt;0,F8*$C$22/$C$20,0))</f>
        <v>212705.56593012495</v>
      </c>
      <c r="G13" s="5">
        <f>G6*IF(Inputs!$C$53=1,PMT(Inputs!$C$50,Inputs!$C$51,-$C$22),IF($C$20&gt;0,G8*$C$22/$C$20,0))</f>
        <v>212705.56593012495</v>
      </c>
      <c r="H13" s="5">
        <f>H6*IF(Inputs!$C$53=1,PMT(Inputs!$C$50,Inputs!$C$51,-$C$22),IF($C$20&gt;0,H8*$C$22/$C$20,0))</f>
        <v>212705.56593012495</v>
      </c>
      <c r="I13" s="5">
        <f>I6*IF(Inputs!$C$53=1,PMT(Inputs!$C$50,Inputs!$C$51,-$C$22),IF($C$20&gt;0,I8*$C$22/$C$20,0))</f>
        <v>212705.56593012495</v>
      </c>
      <c r="J13" s="5">
        <f>J6*IF(Inputs!$C$53=1,PMT(Inputs!$C$50,Inputs!$C$51,-$C$22),IF($C$20&gt;0,J8*$C$22/$C$20,0))</f>
        <v>212705.56593012495</v>
      </c>
      <c r="K13" s="5">
        <f>K6*IF(Inputs!$C$53=1,PMT(Inputs!$C$50,Inputs!$C$51,-$C$22),IF($C$20&gt;0,K8*$C$22/$C$20,0))</f>
        <v>212705.56593012495</v>
      </c>
      <c r="L13" s="5">
        <f>L6*IF(Inputs!$C$53=1,PMT(Inputs!$C$50,Inputs!$C$51,-$C$22),IF($C$20&gt;0,L8*$C$22/$C$20,0))</f>
        <v>212705.56593012495</v>
      </c>
      <c r="M13" s="5">
        <f>M6*IF(Inputs!$C$53=1,PMT(Inputs!$C$50,Inputs!$C$51,-$C$22),IF($C$20&gt;0,M8*$C$22/$C$20,0))</f>
        <v>212705.56593012495</v>
      </c>
      <c r="N13" s="5">
        <f>N6*IF(Inputs!$C$53=1,PMT(Inputs!$C$50,Inputs!$C$51,-$C$22),IF($C$20&gt;0,N8*$C$22/$C$20,0))</f>
        <v>212705.56593012495</v>
      </c>
      <c r="O13" s="5">
        <f>O6*IF(Inputs!$C$53=1,PMT(Inputs!$C$50,Inputs!$C$51,-$C$22),IF($C$20&gt;0,O8*$C$22/$C$20,0))</f>
        <v>212705.56593012495</v>
      </c>
      <c r="P13" s="5">
        <f>P6*IF(Inputs!$C$53=1,PMT(Inputs!$C$50,Inputs!$C$51,-$C$22),IF($C$20&gt;0,P8*$C$22/$C$20,0))</f>
        <v>212705.56593012495</v>
      </c>
      <c r="Q13" s="5">
        <f>Q6*IF(Inputs!$C$53=1,PMT(Inputs!$C$50,Inputs!$C$51,-$C$22),IF($C$20&gt;0,Q8*$C$22/$C$20,0))</f>
        <v>212705.56593012495</v>
      </c>
      <c r="R13" s="5">
        <f>R6*IF(Inputs!$C$53=1,PMT(Inputs!$C$50,Inputs!$C$51,-$C$22),IF($C$20&gt;0,R8*$C$22/$C$20,0))</f>
        <v>212705.56593012495</v>
      </c>
      <c r="S13" s="5">
        <f>S6*IF(Inputs!$C$53=1,PMT(Inputs!$C$50,Inputs!$C$51,-$C$22),IF($C$20&gt;0,S8*$C$22/$C$20,0))</f>
        <v>0</v>
      </c>
      <c r="T13" s="5">
        <f>T6*IF(Inputs!$C$53=1,PMT(Inputs!$C$50,Inputs!$C$51,-$C$22),IF($C$20&gt;0,T8*$C$22/$C$20,0))</f>
        <v>0</v>
      </c>
      <c r="U13" s="5">
        <f>U6*IF(Inputs!$C$53=1,PMT(Inputs!$C$50,Inputs!$C$51,-$C$22),IF($C$20&gt;0,U8*$C$22/$C$20,0))</f>
        <v>0</v>
      </c>
      <c r="V13" s="5">
        <f>V6*IF(Inputs!$C$53=1,PMT(Inputs!$C$50,Inputs!$C$51,-$C$22),IF($C$20&gt;0,V8*$C$22/$C$20,0))</f>
        <v>0</v>
      </c>
      <c r="W13" s="5">
        <f>W6*IF(Inputs!$C$53=1,PMT(Inputs!$C$50,Inputs!$C$51,-$C$22),IF($C$20&gt;0,W8*$C$22/$C$20,0))</f>
        <v>0</v>
      </c>
      <c r="X13" s="5">
        <f>X6*IF(Inputs!$C$53=1,PMT(Inputs!$C$50,Inputs!$C$51,-$C$22),IF($C$20&gt;0,X8*$C$22/$C$20,0))</f>
        <v>0</v>
      </c>
      <c r="Y13" s="5">
        <f>Y6*IF(Inputs!$C$53=1,PMT(Inputs!$C$50,Inputs!$C$51,-$C$22),IF($C$20&gt;0,Y8*$C$22/$C$20,0))</f>
        <v>0</v>
      </c>
      <c r="Z13" s="5">
        <f>Z6*IF(Inputs!$C$53=1,PMT(Inputs!$C$50,Inputs!$C$51,-$C$22),IF($C$20&gt;0,Z8*$C$22/$C$20,0))</f>
        <v>0</v>
      </c>
      <c r="AA13" s="5">
        <f>AA6*IF(Inputs!$C$53=1,PMT(Inputs!$C$50,Inputs!$C$51,-$C$22),IF($C$20&gt;0,AA8*$C$22/$C$20,0))</f>
        <v>0</v>
      </c>
      <c r="AB13" s="5">
        <f>AB6*IF(Inputs!$C$53=1,PMT(Inputs!$C$50,Inputs!$C$51,-$C$22),IF($C$20&gt;0,AB8*$C$22/$C$20,0))</f>
        <v>0</v>
      </c>
    </row>
    <row r="14" spans="1:28" x14ac:dyDescent="0.25">
      <c r="A14" s="4" t="s">
        <v>320</v>
      </c>
      <c r="B14" s="2" t="s">
        <v>225</v>
      </c>
      <c r="D14" s="5">
        <f>D12*Inputs!$C$50</f>
        <v>130000</v>
      </c>
      <c r="E14" s="5">
        <f>E12*Inputs!$C$50</f>
        <v>124624.13821454189</v>
      </c>
      <c r="F14" s="5">
        <f>F12*Inputs!$C$50</f>
        <v>118898.84541302899</v>
      </c>
      <c r="G14" s="5">
        <f>G12*Inputs!$C$50</f>
        <v>112801.40857941777</v>
      </c>
      <c r="H14" s="5">
        <f>H12*Inputs!$C$50</f>
        <v>106307.6383516218</v>
      </c>
      <c r="I14" s="5">
        <f>I12*Inputs!$C$50</f>
        <v>99391.773059019106</v>
      </c>
      <c r="J14" s="5">
        <f>J12*Inputs!$C$50</f>
        <v>92026.376522397215</v>
      </c>
      <c r="K14" s="5">
        <f>K12*Inputs!$C$50</f>
        <v>84182.229210894919</v>
      </c>
      <c r="L14" s="5">
        <f>L12*Inputs!$C$50</f>
        <v>75828.212324144959</v>
      </c>
      <c r="M14" s="5">
        <f>M12*Inputs!$C$50</f>
        <v>66931.184339756262</v>
      </c>
      <c r="N14" s="5">
        <f>N12*Inputs!$C$50</f>
        <v>57455.849536382295</v>
      </c>
      <c r="O14" s="5">
        <f>O12*Inputs!$C$50</f>
        <v>47364.617970789019</v>
      </c>
      <c r="P14" s="5">
        <f>P12*Inputs!$C$50</f>
        <v>36617.456353432179</v>
      </c>
      <c r="Q14" s="5">
        <f>Q12*Inputs!$C$50</f>
        <v>25171.729230947145</v>
      </c>
      <c r="R14" s="5">
        <f>R12*Inputs!$C$50</f>
        <v>12982.029845500587</v>
      </c>
      <c r="S14" s="5">
        <f>S12*Inputs!$C$50</f>
        <v>0</v>
      </c>
      <c r="T14" s="5">
        <f>T12*Inputs!$C$50</f>
        <v>0</v>
      </c>
      <c r="U14" s="5">
        <f>U12*Inputs!$C$50</f>
        <v>0</v>
      </c>
      <c r="V14" s="5">
        <f>V12*Inputs!$C$50</f>
        <v>0</v>
      </c>
      <c r="W14" s="5">
        <f>W12*Inputs!$C$50</f>
        <v>0</v>
      </c>
      <c r="X14" s="5">
        <f>X12*Inputs!$C$50</f>
        <v>0</v>
      </c>
      <c r="Y14" s="5">
        <f>Y12*Inputs!$C$50</f>
        <v>0</v>
      </c>
      <c r="Z14" s="5">
        <f>Z12*Inputs!$C$50</f>
        <v>0</v>
      </c>
      <c r="AA14" s="5">
        <f>AA12*Inputs!$C$50</f>
        <v>0</v>
      </c>
      <c r="AB14" s="5">
        <f>AB12*Inputs!$C$50</f>
        <v>0</v>
      </c>
    </row>
    <row r="15" spans="1:28" x14ac:dyDescent="0.25">
      <c r="A15" s="4" t="s">
        <v>321</v>
      </c>
      <c r="B15" s="2" t="s">
        <v>225</v>
      </c>
      <c r="D15" s="5">
        <f t="shared" ref="D15:AB15" si="2">MAX(0,MIN(D12,D13-D14))</f>
        <v>82705.565930124954</v>
      </c>
      <c r="E15" s="5">
        <f t="shared" si="2"/>
        <v>88081.427715583064</v>
      </c>
      <c r="F15" s="5">
        <f t="shared" si="2"/>
        <v>93806.720517095964</v>
      </c>
      <c r="G15" s="5">
        <f t="shared" si="2"/>
        <v>99904.157350707188</v>
      </c>
      <c r="H15" s="5">
        <f t="shared" si="2"/>
        <v>106397.92757850315</v>
      </c>
      <c r="I15" s="5">
        <f t="shared" si="2"/>
        <v>113313.79287110585</v>
      </c>
      <c r="J15" s="5">
        <f t="shared" si="2"/>
        <v>120679.18940772774</v>
      </c>
      <c r="K15" s="5">
        <f t="shared" si="2"/>
        <v>128523.33671923004</v>
      </c>
      <c r="L15" s="5">
        <f t="shared" si="2"/>
        <v>136877.35360598</v>
      </c>
      <c r="M15" s="5">
        <f t="shared" si="2"/>
        <v>145774.38159036869</v>
      </c>
      <c r="N15" s="5">
        <f t="shared" si="2"/>
        <v>155249.71639374265</v>
      </c>
      <c r="O15" s="5">
        <f t="shared" si="2"/>
        <v>165340.94795933593</v>
      </c>
      <c r="P15" s="5">
        <f t="shared" si="2"/>
        <v>176088.10957669278</v>
      </c>
      <c r="Q15" s="5">
        <f t="shared" si="2"/>
        <v>187533.8366991778</v>
      </c>
      <c r="R15" s="5">
        <f t="shared" si="2"/>
        <v>199723.53608462436</v>
      </c>
      <c r="S15" s="5">
        <f t="shared" si="2"/>
        <v>0</v>
      </c>
      <c r="T15" s="5">
        <f t="shared" si="2"/>
        <v>0</v>
      </c>
      <c r="U15" s="5">
        <f t="shared" si="2"/>
        <v>0</v>
      </c>
      <c r="V15" s="5">
        <f t="shared" si="2"/>
        <v>0</v>
      </c>
      <c r="W15" s="5">
        <f t="shared" si="2"/>
        <v>0</v>
      </c>
      <c r="X15" s="5">
        <f t="shared" si="2"/>
        <v>0</v>
      </c>
      <c r="Y15" s="5">
        <f t="shared" si="2"/>
        <v>0</v>
      </c>
      <c r="Z15" s="5">
        <f t="shared" si="2"/>
        <v>0</v>
      </c>
      <c r="AA15" s="5">
        <f t="shared" si="2"/>
        <v>0</v>
      </c>
      <c r="AB15" s="5">
        <f t="shared" si="2"/>
        <v>0</v>
      </c>
    </row>
    <row r="16" spans="1:28" x14ac:dyDescent="0.25">
      <c r="A16" s="4" t="s">
        <v>322</v>
      </c>
      <c r="B16" s="2" t="s">
        <v>225</v>
      </c>
      <c r="D16" s="5">
        <f t="shared" ref="D16:AB16" si="3">D12-D15</f>
        <v>1917294.4340698752</v>
      </c>
      <c r="E16" s="5">
        <f t="shared" si="3"/>
        <v>1829213.0063542922</v>
      </c>
      <c r="F16" s="5">
        <f t="shared" si="3"/>
        <v>1735406.2858371963</v>
      </c>
      <c r="G16" s="5">
        <f t="shared" si="3"/>
        <v>1635502.1284864892</v>
      </c>
      <c r="H16" s="5">
        <f t="shared" si="3"/>
        <v>1529104.2009079861</v>
      </c>
      <c r="I16" s="5">
        <f t="shared" si="3"/>
        <v>1415790.4080368802</v>
      </c>
      <c r="J16" s="5">
        <f t="shared" si="3"/>
        <v>1295111.2186291525</v>
      </c>
      <c r="K16" s="5">
        <f t="shared" si="3"/>
        <v>1166587.8819099225</v>
      </c>
      <c r="L16" s="5">
        <f t="shared" si="3"/>
        <v>1029710.5283039424</v>
      </c>
      <c r="M16" s="5">
        <f t="shared" si="3"/>
        <v>883936.14671357372</v>
      </c>
      <c r="N16" s="5">
        <f t="shared" si="3"/>
        <v>728686.43031983101</v>
      </c>
      <c r="O16" s="5">
        <f t="shared" si="3"/>
        <v>563345.48236049502</v>
      </c>
      <c r="P16" s="5">
        <f t="shared" si="3"/>
        <v>387257.37278380222</v>
      </c>
      <c r="Q16" s="5">
        <f t="shared" si="3"/>
        <v>199723.53608462441</v>
      </c>
      <c r="R16" s="5">
        <f t="shared" si="3"/>
        <v>0</v>
      </c>
      <c r="S16" s="5">
        <f t="shared" si="3"/>
        <v>0</v>
      </c>
      <c r="T16" s="5">
        <f t="shared" si="3"/>
        <v>0</v>
      </c>
      <c r="U16" s="5">
        <f t="shared" si="3"/>
        <v>0</v>
      </c>
      <c r="V16" s="5">
        <f t="shared" si="3"/>
        <v>0</v>
      </c>
      <c r="W16" s="5">
        <f t="shared" si="3"/>
        <v>0</v>
      </c>
      <c r="X16" s="5">
        <f t="shared" si="3"/>
        <v>0</v>
      </c>
      <c r="Y16" s="5">
        <f t="shared" si="3"/>
        <v>0</v>
      </c>
      <c r="Z16" s="5">
        <f t="shared" si="3"/>
        <v>0</v>
      </c>
      <c r="AA16" s="5">
        <f t="shared" si="3"/>
        <v>0</v>
      </c>
      <c r="AB16" s="5">
        <f t="shared" si="3"/>
        <v>0</v>
      </c>
    </row>
    <row r="17" spans="1:28" x14ac:dyDescent="0.25">
      <c r="A17" s="3" t="s">
        <v>323</v>
      </c>
      <c r="B17" s="2" t="s">
        <v>225</v>
      </c>
      <c r="D17" s="25">
        <f t="shared" ref="D17:AB17" si="4">D14+D15</f>
        <v>212705.56593012495</v>
      </c>
      <c r="E17" s="25">
        <f t="shared" si="4"/>
        <v>212705.56593012495</v>
      </c>
      <c r="F17" s="25">
        <f t="shared" si="4"/>
        <v>212705.56593012495</v>
      </c>
      <c r="G17" s="25">
        <f t="shared" si="4"/>
        <v>212705.56593012495</v>
      </c>
      <c r="H17" s="25">
        <f t="shared" si="4"/>
        <v>212705.56593012495</v>
      </c>
      <c r="I17" s="25">
        <f t="shared" si="4"/>
        <v>212705.56593012495</v>
      </c>
      <c r="J17" s="25">
        <f t="shared" si="4"/>
        <v>212705.56593012495</v>
      </c>
      <c r="K17" s="25">
        <f t="shared" si="4"/>
        <v>212705.56593012495</v>
      </c>
      <c r="L17" s="25">
        <f t="shared" si="4"/>
        <v>212705.56593012495</v>
      </c>
      <c r="M17" s="25">
        <f t="shared" si="4"/>
        <v>212705.56593012495</v>
      </c>
      <c r="N17" s="25">
        <f t="shared" si="4"/>
        <v>212705.56593012495</v>
      </c>
      <c r="O17" s="25">
        <f t="shared" si="4"/>
        <v>212705.56593012495</v>
      </c>
      <c r="P17" s="25">
        <f t="shared" si="4"/>
        <v>212705.56593012495</v>
      </c>
      <c r="Q17" s="25">
        <f t="shared" si="4"/>
        <v>212705.56593012495</v>
      </c>
      <c r="R17" s="25">
        <f t="shared" si="4"/>
        <v>212705.56593012495</v>
      </c>
      <c r="S17" s="25">
        <f t="shared" si="4"/>
        <v>0</v>
      </c>
      <c r="T17" s="25">
        <f t="shared" si="4"/>
        <v>0</v>
      </c>
      <c r="U17" s="25">
        <f t="shared" si="4"/>
        <v>0</v>
      </c>
      <c r="V17" s="25">
        <f t="shared" si="4"/>
        <v>0</v>
      </c>
      <c r="W17" s="25">
        <f t="shared" si="4"/>
        <v>0</v>
      </c>
      <c r="X17" s="25">
        <f t="shared" si="4"/>
        <v>0</v>
      </c>
      <c r="Y17" s="25">
        <f t="shared" si="4"/>
        <v>0</v>
      </c>
      <c r="Z17" s="25">
        <f t="shared" si="4"/>
        <v>0</v>
      </c>
      <c r="AA17" s="25">
        <f t="shared" si="4"/>
        <v>0</v>
      </c>
      <c r="AB17" s="25">
        <f t="shared" si="4"/>
        <v>0</v>
      </c>
    </row>
    <row r="19" spans="1:28" x14ac:dyDescent="0.25">
      <c r="A19" s="3" t="s">
        <v>324</v>
      </c>
      <c r="C19" s="25">
        <f>PV(Inputs!$C$50,Inputs!$C$51,-MIN(D9:AB9))</f>
        <v>2251816.4583957884</v>
      </c>
    </row>
    <row r="20" spans="1:28" x14ac:dyDescent="0.25">
      <c r="A20" s="3" t="s">
        <v>325</v>
      </c>
      <c r="C20" s="25">
        <f>NPV(Inputs!$C$50,D8:AB8)</f>
        <v>2266399.0466517229</v>
      </c>
    </row>
    <row r="21" spans="1:28" x14ac:dyDescent="0.25">
      <c r="A21" s="3" t="s">
        <v>326</v>
      </c>
      <c r="C21" s="25">
        <f>IF(Inputs!$C$53=1,C19,C20)</f>
        <v>2251816.4583957884</v>
      </c>
    </row>
    <row r="22" spans="1:28" x14ac:dyDescent="0.25">
      <c r="A22" s="3" t="s">
        <v>327</v>
      </c>
      <c r="C22" s="30">
        <f>IF(Inputs!$C$55=1,ROUNDDOWN(C21/10000,0)*10000,Inputs!$C$56)</f>
        <v>2000000</v>
      </c>
    </row>
    <row r="23" spans="1:28" x14ac:dyDescent="0.25">
      <c r="A23" s="3" t="s">
        <v>328</v>
      </c>
      <c r="C23" s="25">
        <f>INDEX(D16:AB16,1,Inputs!$C$51)</f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75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46" customWidth="1"/>
    <col min="2" max="2" width="11" customWidth="1"/>
    <col min="3" max="28" width="10.42578125" customWidth="1"/>
  </cols>
  <sheetData>
    <row r="1" spans="1:28" ht="16.5" x14ac:dyDescent="0.25">
      <c r="A1" s="1" t="s">
        <v>329</v>
      </c>
    </row>
    <row r="2" spans="1:28" x14ac:dyDescent="0.25">
      <c r="A2" s="2" t="s">
        <v>330</v>
      </c>
    </row>
    <row r="4" spans="1:28" x14ac:dyDescent="0.25">
      <c r="A4" s="3" t="s">
        <v>310</v>
      </c>
      <c r="C4" s="29">
        <v>0</v>
      </c>
      <c r="D4" s="29">
        <v>1</v>
      </c>
      <c r="E4" s="29">
        <v>2</v>
      </c>
      <c r="F4" s="29">
        <v>3</v>
      </c>
      <c r="G4" s="29">
        <v>4</v>
      </c>
      <c r="H4" s="29">
        <v>5</v>
      </c>
      <c r="I4" s="29">
        <v>6</v>
      </c>
      <c r="J4" s="29">
        <v>7</v>
      </c>
      <c r="K4" s="29">
        <v>8</v>
      </c>
      <c r="L4" s="29">
        <v>9</v>
      </c>
      <c r="M4" s="29">
        <v>10</v>
      </c>
      <c r="N4" s="29">
        <v>11</v>
      </c>
      <c r="O4" s="29">
        <v>12</v>
      </c>
      <c r="P4" s="29">
        <v>13</v>
      </c>
      <c r="Q4" s="29">
        <v>14</v>
      </c>
      <c r="R4" s="29">
        <v>15</v>
      </c>
      <c r="S4" s="29">
        <v>16</v>
      </c>
      <c r="T4" s="29">
        <v>17</v>
      </c>
      <c r="U4" s="29">
        <v>18</v>
      </c>
      <c r="V4" s="29">
        <v>19</v>
      </c>
      <c r="W4" s="29">
        <v>20</v>
      </c>
      <c r="X4" s="29">
        <v>21</v>
      </c>
      <c r="Y4" s="29">
        <v>22</v>
      </c>
      <c r="Z4" s="29">
        <v>23</v>
      </c>
      <c r="AA4" s="29">
        <v>24</v>
      </c>
      <c r="AB4" s="29">
        <v>25</v>
      </c>
    </row>
    <row r="5" spans="1:28" x14ac:dyDescent="0.25">
      <c r="A5" s="31" t="s">
        <v>331</v>
      </c>
    </row>
    <row r="6" spans="1:28" x14ac:dyDescent="0.25">
      <c r="A6" s="4" t="s">
        <v>332</v>
      </c>
      <c r="B6" s="2" t="s">
        <v>313</v>
      </c>
      <c r="D6" s="7">
        <f>IF(AND(D$4&gt;=1,D$4&lt;=Inputs!$C$12),1,0)</f>
        <v>1</v>
      </c>
      <c r="E6" s="7">
        <f>IF(AND(E$4&gt;=1,E$4&lt;=Inputs!$C$12),1,0)</f>
        <v>1</v>
      </c>
      <c r="F6" s="7">
        <f>IF(AND(F$4&gt;=1,F$4&lt;=Inputs!$C$12),1,0)</f>
        <v>1</v>
      </c>
      <c r="G6" s="7">
        <f>IF(AND(G$4&gt;=1,G$4&lt;=Inputs!$C$12),1,0)</f>
        <v>1</v>
      </c>
      <c r="H6" s="7">
        <f>IF(AND(H$4&gt;=1,H$4&lt;=Inputs!$C$12),1,0)</f>
        <v>1</v>
      </c>
      <c r="I6" s="7">
        <f>IF(AND(I$4&gt;=1,I$4&lt;=Inputs!$C$12),1,0)</f>
        <v>1</v>
      </c>
      <c r="J6" s="7">
        <f>IF(AND(J$4&gt;=1,J$4&lt;=Inputs!$C$12),1,0)</f>
        <v>1</v>
      </c>
      <c r="K6" s="7">
        <f>IF(AND(K$4&gt;=1,K$4&lt;=Inputs!$C$12),1,0)</f>
        <v>1</v>
      </c>
      <c r="L6" s="7">
        <f>IF(AND(L$4&gt;=1,L$4&lt;=Inputs!$C$12),1,0)</f>
        <v>1</v>
      </c>
      <c r="M6" s="7">
        <f>IF(AND(M$4&gt;=1,M$4&lt;=Inputs!$C$12),1,0)</f>
        <v>1</v>
      </c>
      <c r="N6" s="7">
        <f>IF(AND(N$4&gt;=1,N$4&lt;=Inputs!$C$12),1,0)</f>
        <v>1</v>
      </c>
      <c r="O6" s="7">
        <f>IF(AND(O$4&gt;=1,O$4&lt;=Inputs!$C$12),1,0)</f>
        <v>1</v>
      </c>
      <c r="P6" s="7">
        <f>IF(AND(P$4&gt;=1,P$4&lt;=Inputs!$C$12),1,0)</f>
        <v>1</v>
      </c>
      <c r="Q6" s="7">
        <f>IF(AND(Q$4&gt;=1,Q$4&lt;=Inputs!$C$12),1,0)</f>
        <v>1</v>
      </c>
      <c r="R6" s="7">
        <f>IF(AND(R$4&gt;=1,R$4&lt;=Inputs!$C$12),1,0)</f>
        <v>1</v>
      </c>
      <c r="S6" s="7">
        <f>IF(AND(S$4&gt;=1,S$4&lt;=Inputs!$C$12),1,0)</f>
        <v>1</v>
      </c>
      <c r="T6" s="7">
        <f>IF(AND(T$4&gt;=1,T$4&lt;=Inputs!$C$12),1,0)</f>
        <v>1</v>
      </c>
      <c r="U6" s="7">
        <f>IF(AND(U$4&gt;=1,U$4&lt;=Inputs!$C$12),1,0)</f>
        <v>1</v>
      </c>
      <c r="V6" s="7">
        <f>IF(AND(V$4&gt;=1,V$4&lt;=Inputs!$C$12),1,0)</f>
        <v>1</v>
      </c>
      <c r="W6" s="7">
        <f>IF(AND(W$4&gt;=1,W$4&lt;=Inputs!$C$12),1,0)</f>
        <v>1</v>
      </c>
      <c r="X6" s="7">
        <f>IF(AND(X$4&gt;=1,X$4&lt;=Inputs!$C$12),1,0)</f>
        <v>1</v>
      </c>
      <c r="Y6" s="7">
        <f>IF(AND(Y$4&gt;=1,Y$4&lt;=Inputs!$C$12),1,0)</f>
        <v>1</v>
      </c>
      <c r="Z6" s="7">
        <f>IF(AND(Z$4&gt;=1,Z$4&lt;=Inputs!$C$12),1,0)</f>
        <v>1</v>
      </c>
      <c r="AA6" s="7">
        <f>IF(AND(AA$4&gt;=1,AA$4&lt;=Inputs!$C$12),1,0)</f>
        <v>1</v>
      </c>
      <c r="AB6" s="7">
        <f>IF(AND(AB$4&gt;=1,AB$4&lt;=Inputs!$C$12),1,0)</f>
        <v>1</v>
      </c>
    </row>
    <row r="7" spans="1:28" x14ac:dyDescent="0.25">
      <c r="A7" s="4" t="s">
        <v>331</v>
      </c>
      <c r="B7" s="2" t="s">
        <v>333</v>
      </c>
      <c r="D7" s="5">
        <f>D6*Inputs!$C$71*Inputs!$C$8*1*Inputs!$C$10*(1-Inputs!$C$11)^(D$4-1)/1000</f>
        <v>5940</v>
      </c>
      <c r="E7" s="5">
        <f>E6*Inputs!$C$71*Inputs!$C$8*1*Inputs!$C$10*(1-Inputs!$C$11)^(E$4-1)/1000</f>
        <v>5916.24</v>
      </c>
      <c r="F7" s="5">
        <f>F6*Inputs!$C$71*Inputs!$C$8*1*Inputs!$C$10*(1-Inputs!$C$11)^(F$4-1)/1000</f>
        <v>5892.5750399999997</v>
      </c>
      <c r="G7" s="5">
        <f>G6*Inputs!$C$71*Inputs!$C$8*1*Inputs!$C$10*(1-Inputs!$C$11)^(G$4-1)/1000</f>
        <v>5869.0047398400002</v>
      </c>
      <c r="H7" s="5">
        <f>H6*Inputs!$C$71*Inputs!$C$8*1*Inputs!$C$10*(1-Inputs!$C$11)^(H$4-1)/1000</f>
        <v>5845.5287208806394</v>
      </c>
      <c r="I7" s="5">
        <f>I6*Inputs!$C$71*Inputs!$C$8*1*Inputs!$C$10*(1-Inputs!$C$11)^(I$4-1)/1000</f>
        <v>5822.1466059971171</v>
      </c>
      <c r="J7" s="5">
        <f>J6*Inputs!$C$71*Inputs!$C$8*1*Inputs!$C$10*(1-Inputs!$C$11)^(J$4-1)/1000</f>
        <v>5798.8580195731283</v>
      </c>
      <c r="K7" s="5">
        <f>K6*Inputs!$C$71*Inputs!$C$8*1*Inputs!$C$10*(1-Inputs!$C$11)^(K$4-1)/1000</f>
        <v>5775.6625874948359</v>
      </c>
      <c r="L7" s="5">
        <f>L6*Inputs!$C$71*Inputs!$C$8*1*Inputs!$C$10*(1-Inputs!$C$11)^(L$4-1)/1000</f>
        <v>5752.559937144857</v>
      </c>
      <c r="M7" s="5">
        <f>M6*Inputs!$C$71*Inputs!$C$8*1*Inputs!$C$10*(1-Inputs!$C$11)^(M$4-1)/1000</f>
        <v>5729.5496973962781</v>
      </c>
      <c r="N7" s="5">
        <f>N6*Inputs!$C$71*Inputs!$C$8*1*Inputs!$C$10*(1-Inputs!$C$11)^(N$4-1)/1000</f>
        <v>5706.6314986066927</v>
      </c>
      <c r="O7" s="5">
        <f>O6*Inputs!$C$71*Inputs!$C$8*1*Inputs!$C$10*(1-Inputs!$C$11)^(O$4-1)/1000</f>
        <v>5683.8049726122654</v>
      </c>
      <c r="P7" s="5">
        <f>P6*Inputs!$C$71*Inputs!$C$8*1*Inputs!$C$10*(1-Inputs!$C$11)^(P$4-1)/1000</f>
        <v>5661.0697527218163</v>
      </c>
      <c r="Q7" s="5">
        <f>Q6*Inputs!$C$71*Inputs!$C$8*1*Inputs!$C$10*(1-Inputs!$C$11)^(Q$4-1)/1000</f>
        <v>5638.4254737109304</v>
      </c>
      <c r="R7" s="5">
        <f>R6*Inputs!$C$71*Inputs!$C$8*1*Inputs!$C$10*(1-Inputs!$C$11)^(R$4-1)/1000</f>
        <v>5615.871771816086</v>
      </c>
      <c r="S7" s="5">
        <f>S6*Inputs!$C$71*Inputs!$C$8*1*Inputs!$C$10*(1-Inputs!$C$11)^(S$4-1)/1000</f>
        <v>5593.4082847288209</v>
      </c>
      <c r="T7" s="5">
        <f>T6*Inputs!$C$71*Inputs!$C$8*1*Inputs!$C$10*(1-Inputs!$C$11)^(T$4-1)/1000</f>
        <v>5571.0346515899064</v>
      </c>
      <c r="U7" s="5">
        <f>U6*Inputs!$C$71*Inputs!$C$8*1*Inputs!$C$10*(1-Inputs!$C$11)^(U$4-1)/1000</f>
        <v>5548.7505129835463</v>
      </c>
      <c r="V7" s="5">
        <f>V6*Inputs!$C$71*Inputs!$C$8*1*Inputs!$C$10*(1-Inputs!$C$11)^(V$4-1)/1000</f>
        <v>5526.5555109316128</v>
      </c>
      <c r="W7" s="5">
        <f>W6*Inputs!$C$71*Inputs!$C$8*1*Inputs!$C$10*(1-Inputs!$C$11)^(W$4-1)/1000</f>
        <v>5504.4492888878858</v>
      </c>
      <c r="X7" s="5">
        <f>X6*Inputs!$C$71*Inputs!$C$8*1*Inputs!$C$10*(1-Inputs!$C$11)^(X$4-1)/1000</f>
        <v>5482.4314917323345</v>
      </c>
      <c r="Y7" s="5">
        <f>Y6*Inputs!$C$71*Inputs!$C$8*1*Inputs!$C$10*(1-Inputs!$C$11)^(Y$4-1)/1000</f>
        <v>5460.5017657654053</v>
      </c>
      <c r="Z7" s="5">
        <f>Z6*Inputs!$C$71*Inputs!$C$8*1*Inputs!$C$10*(1-Inputs!$C$11)^(Z$4-1)/1000</f>
        <v>5438.6597587023443</v>
      </c>
      <c r="AA7" s="5">
        <f>AA6*Inputs!$C$71*Inputs!$C$8*1*Inputs!$C$10*(1-Inputs!$C$11)^(AA$4-1)/1000</f>
        <v>5416.9051196675346</v>
      </c>
      <c r="AB7" s="5">
        <f>AB6*Inputs!$C$71*Inputs!$C$8*1*Inputs!$C$10*(1-Inputs!$C$11)^(AB$4-1)/1000</f>
        <v>5395.2374991888637</v>
      </c>
    </row>
    <row r="8" spans="1:28" x14ac:dyDescent="0.25">
      <c r="A8" s="4" t="s">
        <v>334</v>
      </c>
      <c r="B8" s="2" t="s">
        <v>335</v>
      </c>
      <c r="D8" s="32">
        <f>D6*(IF(D$4&lt;=Inputs!$C$20,1,0))</f>
        <v>1</v>
      </c>
      <c r="E8" s="32">
        <f>E6*(IF(E$4&lt;=Inputs!$C$20,1,0))</f>
        <v>1</v>
      </c>
      <c r="F8" s="32">
        <f>F6*(IF(F$4&lt;=Inputs!$C$20,1,0))</f>
        <v>1</v>
      </c>
      <c r="G8" s="32">
        <f>G6*(IF(G$4&lt;=Inputs!$C$20,1,0))</f>
        <v>1</v>
      </c>
      <c r="H8" s="32">
        <f>H6*(IF(H$4&lt;=Inputs!$C$20,1,0))</f>
        <v>1</v>
      </c>
      <c r="I8" s="32">
        <f>I6*(IF(I$4&lt;=Inputs!$C$20,1,0))</f>
        <v>1</v>
      </c>
      <c r="J8" s="32">
        <f>J6*(IF(J$4&lt;=Inputs!$C$20,1,0))</f>
        <v>1</v>
      </c>
      <c r="K8" s="32">
        <f>K6*(IF(K$4&lt;=Inputs!$C$20,1,0))</f>
        <v>1</v>
      </c>
      <c r="L8" s="32">
        <f>L6*(IF(L$4&lt;=Inputs!$C$20,1,0))</f>
        <v>1</v>
      </c>
      <c r="M8" s="32">
        <f>M6*(IF(M$4&lt;=Inputs!$C$20,1,0))</f>
        <v>1</v>
      </c>
      <c r="N8" s="32">
        <f>N6*(IF(N$4&lt;=Inputs!$C$20,1,0))</f>
        <v>1</v>
      </c>
      <c r="O8" s="32">
        <f>O6*(IF(O$4&lt;=Inputs!$C$20,1,0))</f>
        <v>1</v>
      </c>
      <c r="P8" s="32">
        <f>P6*(IF(P$4&lt;=Inputs!$C$20,1,0))</f>
        <v>1</v>
      </c>
      <c r="Q8" s="32">
        <f>Q6*(IF(Q$4&lt;=Inputs!$C$20,1,0))</f>
        <v>1</v>
      </c>
      <c r="R8" s="32">
        <f>R6*(IF(R$4&lt;=Inputs!$C$20,1,0))</f>
        <v>1</v>
      </c>
      <c r="S8" s="32">
        <f>S6*(IF(S$4&lt;=Inputs!$C$20,1,0))</f>
        <v>1</v>
      </c>
      <c r="T8" s="32">
        <f>T6*(IF(T$4&lt;=Inputs!$C$20,1,0))</f>
        <v>1</v>
      </c>
      <c r="U8" s="32">
        <f>U6*(IF(U$4&lt;=Inputs!$C$20,1,0))</f>
        <v>1</v>
      </c>
      <c r="V8" s="32">
        <f>V6*(IF(V$4&lt;=Inputs!$C$20,1,0))</f>
        <v>1</v>
      </c>
      <c r="W8" s="32">
        <f>W6*(IF(W$4&lt;=Inputs!$C$20,1,0))</f>
        <v>1</v>
      </c>
      <c r="X8" s="32">
        <f>X6*(IF(X$4&lt;=Inputs!$C$20,1,0))</f>
        <v>0</v>
      </c>
      <c r="Y8" s="32">
        <f>Y6*(IF(Y$4&lt;=Inputs!$C$20,1,0))</f>
        <v>0</v>
      </c>
      <c r="Z8" s="32">
        <f>Z6*(IF(Z$4&lt;=Inputs!$C$20,1,0))</f>
        <v>0</v>
      </c>
      <c r="AA8" s="32">
        <f>AA6*(IF(AA$4&lt;=Inputs!$C$20,1,0))</f>
        <v>0</v>
      </c>
      <c r="AB8" s="32">
        <f>AB6*(IF(AB$4&lt;=Inputs!$C$20,1,0))</f>
        <v>0</v>
      </c>
    </row>
    <row r="9" spans="1:28" x14ac:dyDescent="0.25">
      <c r="A9" s="4" t="s">
        <v>336</v>
      </c>
      <c r="B9" s="2" t="s">
        <v>333</v>
      </c>
      <c r="D9" s="5">
        <f>D7*D8*Inputs!$C$15</f>
        <v>4158</v>
      </c>
      <c r="E9" s="5">
        <f>E7*E8*Inputs!$C$15</f>
        <v>4141.3679999999995</v>
      </c>
      <c r="F9" s="5">
        <f>F7*F8*Inputs!$C$15</f>
        <v>4124.8025279999993</v>
      </c>
      <c r="G9" s="5">
        <f>G7*G8*Inputs!$C$15</f>
        <v>4108.3033178879996</v>
      </c>
      <c r="H9" s="5">
        <f>H7*H8*Inputs!$C$15</f>
        <v>4091.8701046164474</v>
      </c>
      <c r="I9" s="5">
        <f>I7*I8*Inputs!$C$15</f>
        <v>4075.5026241979817</v>
      </c>
      <c r="J9" s="5">
        <f>J7*J8*Inputs!$C$15</f>
        <v>4059.2006137011895</v>
      </c>
      <c r="K9" s="5">
        <f>K7*K8*Inputs!$C$15</f>
        <v>4042.9638112463849</v>
      </c>
      <c r="L9" s="5">
        <f>L7*L8*Inputs!$C$15</f>
        <v>4026.7919560013997</v>
      </c>
      <c r="M9" s="5">
        <f>M7*M8*Inputs!$C$15</f>
        <v>4010.6847881773942</v>
      </c>
      <c r="N9" s="5">
        <f>N7*N8*Inputs!$C$15</f>
        <v>3994.6420490246846</v>
      </c>
      <c r="O9" s="5">
        <f>O7*O8*Inputs!$C$15</f>
        <v>3978.6634808285853</v>
      </c>
      <c r="P9" s="5">
        <f>P7*P8*Inputs!$C$15</f>
        <v>3962.748826905271</v>
      </c>
      <c r="Q9" s="5">
        <f>Q7*Q8*Inputs!$C$15</f>
        <v>3946.897831597651</v>
      </c>
      <c r="R9" s="5">
        <f>R7*R8*Inputs!$C$15</f>
        <v>3931.11024027126</v>
      </c>
      <c r="S9" s="5">
        <f>S7*S8*Inputs!$C$15</f>
        <v>3915.3857993101742</v>
      </c>
      <c r="T9" s="5">
        <f>T7*T8*Inputs!$C$15</f>
        <v>3899.7242561129342</v>
      </c>
      <c r="U9" s="5">
        <f>U7*U8*Inputs!$C$15</f>
        <v>3884.1253590884821</v>
      </c>
      <c r="V9" s="5">
        <f>V7*V8*Inputs!$C$15</f>
        <v>3868.5888576521288</v>
      </c>
      <c r="W9" s="5">
        <f>W7*W8*Inputs!$C$15</f>
        <v>3853.1145022215196</v>
      </c>
      <c r="X9" s="5">
        <f>X7*X8*Inputs!$C$15</f>
        <v>0</v>
      </c>
      <c r="Y9" s="5">
        <f>Y7*Y8*Inputs!$C$15</f>
        <v>0</v>
      </c>
      <c r="Z9" s="5">
        <f>Z7*Z8*Inputs!$C$15</f>
        <v>0</v>
      </c>
      <c r="AA9" s="5">
        <f>AA7*AA8*Inputs!$C$15</f>
        <v>0</v>
      </c>
      <c r="AB9" s="5">
        <f>AB7*AB8*Inputs!$C$15</f>
        <v>0</v>
      </c>
    </row>
    <row r="10" spans="1:28" x14ac:dyDescent="0.25">
      <c r="A10" s="4" t="s">
        <v>337</v>
      </c>
      <c r="B10" s="2" t="s">
        <v>333</v>
      </c>
      <c r="D10" s="5">
        <f>D7*D8*(1-Inputs!$C$15)</f>
        <v>1782.0000000000002</v>
      </c>
      <c r="E10" s="5">
        <f>E7*E8*(1-Inputs!$C$15)</f>
        <v>1774.8720000000003</v>
      </c>
      <c r="F10" s="5">
        <f>F7*F8*(1-Inputs!$C$15)</f>
        <v>1767.7725120000002</v>
      </c>
      <c r="G10" s="5">
        <f>G7*G8*(1-Inputs!$C$15)</f>
        <v>1760.7014219520004</v>
      </c>
      <c r="H10" s="5">
        <f>H7*H8*(1-Inputs!$C$15)</f>
        <v>1753.658616264192</v>
      </c>
      <c r="I10" s="5">
        <f>I7*I8*(1-Inputs!$C$15)</f>
        <v>1746.6439817991354</v>
      </c>
      <c r="J10" s="5">
        <f>J7*J8*(1-Inputs!$C$15)</f>
        <v>1739.6574058719389</v>
      </c>
      <c r="K10" s="5">
        <f>K7*K8*(1-Inputs!$C$15)</f>
        <v>1732.6987762484509</v>
      </c>
      <c r="L10" s="5">
        <f>L7*L8*(1-Inputs!$C$15)</f>
        <v>1725.7679811434573</v>
      </c>
      <c r="M10" s="5">
        <f>M7*M8*(1-Inputs!$C$15)</f>
        <v>1718.8649092188837</v>
      </c>
      <c r="N10" s="5">
        <f>N7*N8*(1-Inputs!$C$15)</f>
        <v>1711.9894495820081</v>
      </c>
      <c r="O10" s="5">
        <f>O7*O8*(1-Inputs!$C$15)</f>
        <v>1705.1414917836798</v>
      </c>
      <c r="P10" s="5">
        <f>P7*P8*(1-Inputs!$C$15)</f>
        <v>1698.3209258165452</v>
      </c>
      <c r="Q10" s="5">
        <f>Q7*Q8*(1-Inputs!$C$15)</f>
        <v>1691.5276421132794</v>
      </c>
      <c r="R10" s="5">
        <f>R7*R8*(1-Inputs!$C$15)</f>
        <v>1684.7615315448261</v>
      </c>
      <c r="S10" s="5">
        <f>S7*S8*(1-Inputs!$C$15)</f>
        <v>1678.0224854186465</v>
      </c>
      <c r="T10" s="5">
        <f>T7*T8*(1-Inputs!$C$15)</f>
        <v>1671.3103954769722</v>
      </c>
      <c r="U10" s="5">
        <f>U7*U8*(1-Inputs!$C$15)</f>
        <v>1664.6251538950642</v>
      </c>
      <c r="V10" s="5">
        <f>V7*V8*(1-Inputs!$C$15)</f>
        <v>1657.966653279484</v>
      </c>
      <c r="W10" s="5">
        <f>W7*W8*(1-Inputs!$C$15)</f>
        <v>1651.334786666366</v>
      </c>
      <c r="X10" s="5">
        <f>X7*X8*(1-Inputs!$C$15)</f>
        <v>0</v>
      </c>
      <c r="Y10" s="5">
        <f>Y7*Y8*(1-Inputs!$C$15)</f>
        <v>0</v>
      </c>
      <c r="Z10" s="5">
        <f>Z7*Z8*(1-Inputs!$C$15)</f>
        <v>0</v>
      </c>
      <c r="AA10" s="5">
        <f>AA7*AA8*(1-Inputs!$C$15)</f>
        <v>0</v>
      </c>
      <c r="AB10" s="5">
        <f>AB7*AB8*(1-Inputs!$C$15)</f>
        <v>0</v>
      </c>
    </row>
    <row r="11" spans="1:28" x14ac:dyDescent="0.25">
      <c r="A11" s="4" t="s">
        <v>338</v>
      </c>
      <c r="B11" s="2" t="s">
        <v>333</v>
      </c>
      <c r="D11" s="5">
        <f t="shared" ref="D11:AB11" si="0">D7*(1-D8)</f>
        <v>0</v>
      </c>
      <c r="E11" s="5">
        <f t="shared" si="0"/>
        <v>0</v>
      </c>
      <c r="F11" s="5">
        <f t="shared" si="0"/>
        <v>0</v>
      </c>
      <c r="G11" s="5">
        <f t="shared" si="0"/>
        <v>0</v>
      </c>
      <c r="H11" s="5">
        <f t="shared" si="0"/>
        <v>0</v>
      </c>
      <c r="I11" s="5">
        <f t="shared" si="0"/>
        <v>0</v>
      </c>
      <c r="J11" s="5">
        <f t="shared" si="0"/>
        <v>0</v>
      </c>
      <c r="K11" s="5">
        <f t="shared" si="0"/>
        <v>0</v>
      </c>
      <c r="L11" s="5">
        <f t="shared" si="0"/>
        <v>0</v>
      </c>
      <c r="M11" s="5">
        <f t="shared" si="0"/>
        <v>0</v>
      </c>
      <c r="N11" s="5">
        <f t="shared" si="0"/>
        <v>0</v>
      </c>
      <c r="O11" s="5">
        <f t="shared" si="0"/>
        <v>0</v>
      </c>
      <c r="P11" s="5">
        <f t="shared" si="0"/>
        <v>0</v>
      </c>
      <c r="Q11" s="5">
        <f t="shared" si="0"/>
        <v>0</v>
      </c>
      <c r="R11" s="5">
        <f t="shared" si="0"/>
        <v>0</v>
      </c>
      <c r="S11" s="5">
        <f t="shared" si="0"/>
        <v>0</v>
      </c>
      <c r="T11" s="5">
        <f t="shared" si="0"/>
        <v>0</v>
      </c>
      <c r="U11" s="5">
        <f t="shared" si="0"/>
        <v>0</v>
      </c>
      <c r="V11" s="5">
        <f t="shared" si="0"/>
        <v>0</v>
      </c>
      <c r="W11" s="5">
        <f t="shared" si="0"/>
        <v>0</v>
      </c>
      <c r="X11" s="5">
        <f t="shared" si="0"/>
        <v>5482.4314917323345</v>
      </c>
      <c r="Y11" s="5">
        <f t="shared" si="0"/>
        <v>5460.5017657654053</v>
      </c>
      <c r="Z11" s="5">
        <f t="shared" si="0"/>
        <v>5438.6597587023443</v>
      </c>
      <c r="AA11" s="5">
        <f t="shared" si="0"/>
        <v>5416.9051196675346</v>
      </c>
      <c r="AB11" s="5">
        <f t="shared" si="0"/>
        <v>5395.2374991888637</v>
      </c>
    </row>
    <row r="12" spans="1:28" x14ac:dyDescent="0.25">
      <c r="A12" s="4" t="s">
        <v>339</v>
      </c>
      <c r="B12" s="2" t="s">
        <v>313</v>
      </c>
      <c r="D12" s="7">
        <f>D6*Inputs!$C$23*(1-Inputs!$C$29)*IF(D$4&lt;=Inputs!$C$27,1,0)</f>
        <v>1</v>
      </c>
      <c r="E12" s="7">
        <f>E6*Inputs!$C$23*(1-Inputs!$C$29)*IF(E$4&lt;=Inputs!$C$27,1,0)</f>
        <v>1</v>
      </c>
      <c r="F12" s="7">
        <f>F6*Inputs!$C$23*(1-Inputs!$C$29)*IF(F$4&lt;=Inputs!$C$27,1,0)</f>
        <v>1</v>
      </c>
      <c r="G12" s="7">
        <f>G6*Inputs!$C$23*(1-Inputs!$C$29)*IF(G$4&lt;=Inputs!$C$27,1,0)</f>
        <v>1</v>
      </c>
      <c r="H12" s="7">
        <f>H6*Inputs!$C$23*(1-Inputs!$C$29)*IF(H$4&lt;=Inputs!$C$27,1,0)</f>
        <v>1</v>
      </c>
      <c r="I12" s="7">
        <f>I6*Inputs!$C$23*(1-Inputs!$C$29)*IF(I$4&lt;=Inputs!$C$27,1,0)</f>
        <v>1</v>
      </c>
      <c r="J12" s="7">
        <f>J6*Inputs!$C$23*(1-Inputs!$C$29)*IF(J$4&lt;=Inputs!$C$27,1,0)</f>
        <v>1</v>
      </c>
      <c r="K12" s="7">
        <f>K6*Inputs!$C$23*(1-Inputs!$C$29)*IF(K$4&lt;=Inputs!$C$27,1,0)</f>
        <v>1</v>
      </c>
      <c r="L12" s="7">
        <f>L6*Inputs!$C$23*(1-Inputs!$C$29)*IF(L$4&lt;=Inputs!$C$27,1,0)</f>
        <v>1</v>
      </c>
      <c r="M12" s="7">
        <f>M6*Inputs!$C$23*(1-Inputs!$C$29)*IF(M$4&lt;=Inputs!$C$27,1,0)</f>
        <v>1</v>
      </c>
      <c r="N12" s="7">
        <f>N6*Inputs!$C$23*(1-Inputs!$C$29)*IF(N$4&lt;=Inputs!$C$27,1,0)</f>
        <v>1</v>
      </c>
      <c r="O12" s="7">
        <f>O6*Inputs!$C$23*(1-Inputs!$C$29)*IF(O$4&lt;=Inputs!$C$27,1,0)</f>
        <v>1</v>
      </c>
      <c r="P12" s="7">
        <f>P6*Inputs!$C$23*(1-Inputs!$C$29)*IF(P$4&lt;=Inputs!$C$27,1,0)</f>
        <v>1</v>
      </c>
      <c r="Q12" s="7">
        <f>Q6*Inputs!$C$23*(1-Inputs!$C$29)*IF(Q$4&lt;=Inputs!$C$27,1,0)</f>
        <v>1</v>
      </c>
      <c r="R12" s="7">
        <f>R6*Inputs!$C$23*(1-Inputs!$C$29)*IF(R$4&lt;=Inputs!$C$27,1,0)</f>
        <v>1</v>
      </c>
      <c r="S12" s="7">
        <f>S6*Inputs!$C$23*(1-Inputs!$C$29)*IF(S$4&lt;=Inputs!$C$27,1,0)</f>
        <v>0</v>
      </c>
      <c r="T12" s="7">
        <f>T6*Inputs!$C$23*(1-Inputs!$C$29)*IF(T$4&lt;=Inputs!$C$27,1,0)</f>
        <v>0</v>
      </c>
      <c r="U12" s="7">
        <f>U6*Inputs!$C$23*(1-Inputs!$C$29)*IF(U$4&lt;=Inputs!$C$27,1,0)</f>
        <v>0</v>
      </c>
      <c r="V12" s="7">
        <f>V6*Inputs!$C$23*(1-Inputs!$C$29)*IF(V$4&lt;=Inputs!$C$27,1,0)</f>
        <v>0</v>
      </c>
      <c r="W12" s="7">
        <f>W6*Inputs!$C$23*(1-Inputs!$C$29)*IF(W$4&lt;=Inputs!$C$27,1,0)</f>
        <v>0</v>
      </c>
      <c r="X12" s="7">
        <f>X6*Inputs!$C$23*(1-Inputs!$C$29)*IF(X$4&lt;=Inputs!$C$27,1,0)</f>
        <v>0</v>
      </c>
      <c r="Y12" s="7">
        <f>Y6*Inputs!$C$23*(1-Inputs!$C$29)*IF(Y$4&lt;=Inputs!$C$27,1,0)</f>
        <v>0</v>
      </c>
      <c r="Z12" s="7">
        <f>Z6*Inputs!$C$23*(1-Inputs!$C$29)*IF(Z$4&lt;=Inputs!$C$27,1,0)</f>
        <v>0</v>
      </c>
      <c r="AA12" s="7">
        <f>AA6*Inputs!$C$23*(1-Inputs!$C$29)*IF(AA$4&lt;=Inputs!$C$27,1,0)</f>
        <v>0</v>
      </c>
      <c r="AB12" s="7">
        <f>AB6*Inputs!$C$23*(1-Inputs!$C$29)*IF(AB$4&lt;=Inputs!$C$27,1,0)</f>
        <v>0</v>
      </c>
    </row>
    <row r="13" spans="1:28" x14ac:dyDescent="0.25">
      <c r="A13" s="4" t="s">
        <v>340</v>
      </c>
      <c r="B13" s="2" t="s">
        <v>333</v>
      </c>
      <c r="D13" s="5">
        <f>D12*(D11+D10*Inputs!$C$24)</f>
        <v>0</v>
      </c>
      <c r="E13" s="5">
        <f>E12*(E11+E10*Inputs!$C$24)</f>
        <v>0</v>
      </c>
      <c r="F13" s="5">
        <f>F12*(F11+F10*Inputs!$C$24)</f>
        <v>0</v>
      </c>
      <c r="G13" s="5">
        <f>G12*(G11+G10*Inputs!$C$24)</f>
        <v>0</v>
      </c>
      <c r="H13" s="5">
        <f>H12*(H11+H10*Inputs!$C$24)</f>
        <v>0</v>
      </c>
      <c r="I13" s="5">
        <f>I12*(I11+I10*Inputs!$C$24)</f>
        <v>0</v>
      </c>
      <c r="J13" s="5">
        <f>J12*(J11+J10*Inputs!$C$24)</f>
        <v>0</v>
      </c>
      <c r="K13" s="5">
        <f>K12*(K11+K10*Inputs!$C$24)</f>
        <v>0</v>
      </c>
      <c r="L13" s="5">
        <f>L12*(L11+L10*Inputs!$C$24)</f>
        <v>0</v>
      </c>
      <c r="M13" s="5">
        <f>M12*(M11+M10*Inputs!$C$24)</f>
        <v>0</v>
      </c>
      <c r="N13" s="5">
        <f>N12*(N11+N10*Inputs!$C$24)</f>
        <v>0</v>
      </c>
      <c r="O13" s="5">
        <f>O12*(O11+O10*Inputs!$C$24)</f>
        <v>0</v>
      </c>
      <c r="P13" s="5">
        <f>P12*(P11+P10*Inputs!$C$24)</f>
        <v>0</v>
      </c>
      <c r="Q13" s="5">
        <f>Q12*(Q11+Q10*Inputs!$C$24)</f>
        <v>0</v>
      </c>
      <c r="R13" s="5">
        <f>R12*(R11+R10*Inputs!$C$24)</f>
        <v>0</v>
      </c>
      <c r="S13" s="5">
        <f>S12*(S11+S10*Inputs!$C$24)</f>
        <v>0</v>
      </c>
      <c r="T13" s="5">
        <f>T12*(T11+T10*Inputs!$C$24)</f>
        <v>0</v>
      </c>
      <c r="U13" s="5">
        <f>U12*(U11+U10*Inputs!$C$24)</f>
        <v>0</v>
      </c>
      <c r="V13" s="5">
        <f>V12*(V11+V10*Inputs!$C$24)</f>
        <v>0</v>
      </c>
      <c r="W13" s="5">
        <f>W12*(W11+W10*Inputs!$C$24)</f>
        <v>0</v>
      </c>
      <c r="X13" s="5">
        <f>X12*(X11+X10*Inputs!$C$24)</f>
        <v>0</v>
      </c>
      <c r="Y13" s="5">
        <f>Y12*(Y11+Y10*Inputs!$C$24)</f>
        <v>0</v>
      </c>
      <c r="Z13" s="5">
        <f>Z12*(Z11+Z10*Inputs!$C$24)</f>
        <v>0</v>
      </c>
      <c r="AA13" s="5">
        <f>AA12*(AA11+AA10*Inputs!$C$24)</f>
        <v>0</v>
      </c>
      <c r="AB13" s="5">
        <f>AB12*(AB11+AB10*Inputs!$C$24)</f>
        <v>0</v>
      </c>
    </row>
    <row r="14" spans="1:28" x14ac:dyDescent="0.25">
      <c r="A14" s="4" t="s">
        <v>341</v>
      </c>
      <c r="B14" s="2" t="s">
        <v>333</v>
      </c>
      <c r="D14" s="5">
        <f t="shared" ref="D14:AB14" si="1">D11+D10-D13</f>
        <v>1782.0000000000002</v>
      </c>
      <c r="E14" s="5">
        <f t="shared" si="1"/>
        <v>1774.8720000000003</v>
      </c>
      <c r="F14" s="5">
        <f t="shared" si="1"/>
        <v>1767.7725120000002</v>
      </c>
      <c r="G14" s="5">
        <f t="shared" si="1"/>
        <v>1760.7014219520004</v>
      </c>
      <c r="H14" s="5">
        <f t="shared" si="1"/>
        <v>1753.658616264192</v>
      </c>
      <c r="I14" s="5">
        <f t="shared" si="1"/>
        <v>1746.6439817991354</v>
      </c>
      <c r="J14" s="5">
        <f t="shared" si="1"/>
        <v>1739.6574058719389</v>
      </c>
      <c r="K14" s="5">
        <f t="shared" si="1"/>
        <v>1732.6987762484509</v>
      </c>
      <c r="L14" s="5">
        <f t="shared" si="1"/>
        <v>1725.7679811434573</v>
      </c>
      <c r="M14" s="5">
        <f t="shared" si="1"/>
        <v>1718.8649092188837</v>
      </c>
      <c r="N14" s="5">
        <f t="shared" si="1"/>
        <v>1711.9894495820081</v>
      </c>
      <c r="O14" s="5">
        <f t="shared" si="1"/>
        <v>1705.1414917836798</v>
      </c>
      <c r="P14" s="5">
        <f t="shared" si="1"/>
        <v>1698.3209258165452</v>
      </c>
      <c r="Q14" s="5">
        <f t="shared" si="1"/>
        <v>1691.5276421132794</v>
      </c>
      <c r="R14" s="5">
        <f t="shared" si="1"/>
        <v>1684.7615315448261</v>
      </c>
      <c r="S14" s="5">
        <f t="shared" si="1"/>
        <v>1678.0224854186465</v>
      </c>
      <c r="T14" s="5">
        <f t="shared" si="1"/>
        <v>1671.3103954769722</v>
      </c>
      <c r="U14" s="5">
        <f t="shared" si="1"/>
        <v>1664.6251538950642</v>
      </c>
      <c r="V14" s="5">
        <f t="shared" si="1"/>
        <v>1657.966653279484</v>
      </c>
      <c r="W14" s="5">
        <f t="shared" si="1"/>
        <v>1651.334786666366</v>
      </c>
      <c r="X14" s="5">
        <f t="shared" si="1"/>
        <v>5482.4314917323345</v>
      </c>
      <c r="Y14" s="5">
        <f t="shared" si="1"/>
        <v>5460.5017657654053</v>
      </c>
      <c r="Z14" s="5">
        <f t="shared" si="1"/>
        <v>5438.6597587023443</v>
      </c>
      <c r="AA14" s="5">
        <f t="shared" si="1"/>
        <v>5416.9051196675346</v>
      </c>
      <c r="AB14" s="5">
        <f t="shared" si="1"/>
        <v>5395.2374991888637</v>
      </c>
    </row>
    <row r="15" spans="1:28" x14ac:dyDescent="0.25">
      <c r="A15" s="31" t="s">
        <v>113</v>
      </c>
    </row>
    <row r="16" spans="1:28" x14ac:dyDescent="0.25">
      <c r="A16" s="4" t="s">
        <v>342</v>
      </c>
      <c r="B16" s="2" t="s">
        <v>119</v>
      </c>
      <c r="D16" s="33">
        <f>Inputs!$C$16*(1+Inputs!$C$19)^(D$4-1)</f>
        <v>110</v>
      </c>
      <c r="E16" s="33">
        <f>Inputs!$C$16*(1+Inputs!$C$19)^(E$4-1)</f>
        <v>111.1</v>
      </c>
      <c r="F16" s="33">
        <f>Inputs!$C$16*(1+Inputs!$C$19)^(F$4-1)</f>
        <v>112.211</v>
      </c>
      <c r="G16" s="33">
        <f>Inputs!$C$16*(1+Inputs!$C$19)^(G$4-1)</f>
        <v>113.33310999999999</v>
      </c>
      <c r="H16" s="33">
        <f>Inputs!$C$16*(1+Inputs!$C$19)^(H$4-1)</f>
        <v>114.4664411</v>
      </c>
      <c r="I16" s="33">
        <f>Inputs!$C$16*(1+Inputs!$C$19)^(I$4-1)</f>
        <v>115.61110551099999</v>
      </c>
      <c r="J16" s="33">
        <f>Inputs!$C$16*(1+Inputs!$C$19)^(J$4-1)</f>
        <v>116.76721656611001</v>
      </c>
      <c r="K16" s="33">
        <f>Inputs!$C$16*(1+Inputs!$C$19)^(K$4-1)</f>
        <v>117.93488873177108</v>
      </c>
      <c r="L16" s="33">
        <f>Inputs!$C$16*(1+Inputs!$C$19)^(L$4-1)</f>
        <v>119.11423761908883</v>
      </c>
      <c r="M16" s="33">
        <f>Inputs!$C$16*(1+Inputs!$C$19)^(M$4-1)</f>
        <v>120.30537999527972</v>
      </c>
      <c r="N16" s="33">
        <f>Inputs!$C$16*(1+Inputs!$C$19)^(N$4-1)</f>
        <v>121.50843379523252</v>
      </c>
      <c r="O16" s="33">
        <f>Inputs!$C$16*(1+Inputs!$C$19)^(O$4-1)</f>
        <v>122.72351813318483</v>
      </c>
      <c r="P16" s="33">
        <f>Inputs!$C$16*(1+Inputs!$C$19)^(P$4-1)</f>
        <v>123.95075331451667</v>
      </c>
      <c r="Q16" s="33">
        <f>Inputs!$C$16*(1+Inputs!$C$19)^(Q$4-1)</f>
        <v>125.19026084766185</v>
      </c>
      <c r="R16" s="33">
        <f>Inputs!$C$16*(1+Inputs!$C$19)^(R$4-1)</f>
        <v>126.44216345613849</v>
      </c>
      <c r="S16" s="33">
        <f>Inputs!$C$16*(1+Inputs!$C$19)^(S$4-1)</f>
        <v>127.70658509069983</v>
      </c>
      <c r="T16" s="33">
        <f>Inputs!$C$16*(1+Inputs!$C$19)^(T$4-1)</f>
        <v>128.98365094160687</v>
      </c>
      <c r="U16" s="33">
        <f>Inputs!$C$16*(1+Inputs!$C$19)^(U$4-1)</f>
        <v>130.27348745102293</v>
      </c>
      <c r="V16" s="33">
        <f>Inputs!$C$16*(1+Inputs!$C$19)^(V$4-1)</f>
        <v>131.57622232553317</v>
      </c>
      <c r="W16" s="33">
        <f>Inputs!$C$16*(1+Inputs!$C$19)^(W$4-1)</f>
        <v>132.89198454878849</v>
      </c>
      <c r="X16" s="33">
        <f>Inputs!$C$16*(1+Inputs!$C$19)^(X$4-1)</f>
        <v>134.22090439427637</v>
      </c>
      <c r="Y16" s="33">
        <f>Inputs!$C$16*(1+Inputs!$C$19)^(Y$4-1)</f>
        <v>135.56311343821912</v>
      </c>
      <c r="Z16" s="33">
        <f>Inputs!$C$16*(1+Inputs!$C$19)^(Z$4-1)</f>
        <v>136.91874457260136</v>
      </c>
      <c r="AA16" s="33">
        <f>Inputs!$C$16*(1+Inputs!$C$19)^(AA$4-1)</f>
        <v>138.28793201832735</v>
      </c>
      <c r="AB16" s="33">
        <f>Inputs!$C$16*(1+Inputs!$C$19)^(AB$4-1)</f>
        <v>139.67081133851065</v>
      </c>
    </row>
    <row r="17" spans="1:28" x14ac:dyDescent="0.25">
      <c r="A17" s="4" t="s">
        <v>343</v>
      </c>
      <c r="B17" s="2" t="s">
        <v>119</v>
      </c>
      <c r="D17" s="33">
        <f>Inputs!$C$21*(1+Inputs!$C$22)^(D$4-1)*(1+0)</f>
        <v>45</v>
      </c>
      <c r="E17" s="33">
        <f>Inputs!$C$21*(1+Inputs!$C$22)^(E$4-1)*(1+0)</f>
        <v>45</v>
      </c>
      <c r="F17" s="33">
        <f>Inputs!$C$21*(1+Inputs!$C$22)^(F$4-1)*(1+0)</f>
        <v>45</v>
      </c>
      <c r="G17" s="33">
        <f>Inputs!$C$21*(1+Inputs!$C$22)^(G$4-1)*(1+0)</f>
        <v>45</v>
      </c>
      <c r="H17" s="33">
        <f>Inputs!$C$21*(1+Inputs!$C$22)^(H$4-1)*(1+0)</f>
        <v>45</v>
      </c>
      <c r="I17" s="33">
        <f>Inputs!$C$21*(1+Inputs!$C$22)^(I$4-1)*(1+0)</f>
        <v>45</v>
      </c>
      <c r="J17" s="33">
        <f>Inputs!$C$21*(1+Inputs!$C$22)^(J$4-1)*(1+0)</f>
        <v>45</v>
      </c>
      <c r="K17" s="33">
        <f>Inputs!$C$21*(1+Inputs!$C$22)^(K$4-1)*(1+0)</f>
        <v>45</v>
      </c>
      <c r="L17" s="33">
        <f>Inputs!$C$21*(1+Inputs!$C$22)^(L$4-1)*(1+0)</f>
        <v>45</v>
      </c>
      <c r="M17" s="33">
        <f>Inputs!$C$21*(1+Inputs!$C$22)^(M$4-1)*(1+0)</f>
        <v>45</v>
      </c>
      <c r="N17" s="33">
        <f>Inputs!$C$21*(1+Inputs!$C$22)^(N$4-1)*(1+0)</f>
        <v>45</v>
      </c>
      <c r="O17" s="33">
        <f>Inputs!$C$21*(1+Inputs!$C$22)^(O$4-1)*(1+0)</f>
        <v>45</v>
      </c>
      <c r="P17" s="33">
        <f>Inputs!$C$21*(1+Inputs!$C$22)^(P$4-1)*(1+0)</f>
        <v>45</v>
      </c>
      <c r="Q17" s="33">
        <f>Inputs!$C$21*(1+Inputs!$C$22)^(Q$4-1)*(1+0)</f>
        <v>45</v>
      </c>
      <c r="R17" s="33">
        <f>Inputs!$C$21*(1+Inputs!$C$22)^(R$4-1)*(1+0)</f>
        <v>45</v>
      </c>
      <c r="S17" s="33">
        <f>Inputs!$C$21*(1+Inputs!$C$22)^(S$4-1)*(1+0)</f>
        <v>45</v>
      </c>
      <c r="T17" s="33">
        <f>Inputs!$C$21*(1+Inputs!$C$22)^(T$4-1)*(1+0)</f>
        <v>45</v>
      </c>
      <c r="U17" s="33">
        <f>Inputs!$C$21*(1+Inputs!$C$22)^(U$4-1)*(1+0)</f>
        <v>45</v>
      </c>
      <c r="V17" s="33">
        <f>Inputs!$C$21*(1+Inputs!$C$22)^(V$4-1)*(1+0)</f>
        <v>45</v>
      </c>
      <c r="W17" s="33">
        <f>Inputs!$C$21*(1+Inputs!$C$22)^(W$4-1)*(1+0)</f>
        <v>45</v>
      </c>
      <c r="X17" s="33">
        <f>Inputs!$C$21*(1+Inputs!$C$22)^(X$4-1)*(1+0)</f>
        <v>45</v>
      </c>
      <c r="Y17" s="33">
        <f>Inputs!$C$21*(1+Inputs!$C$22)^(Y$4-1)*(1+0)</f>
        <v>45</v>
      </c>
      <c r="Z17" s="33">
        <f>Inputs!$C$21*(1+Inputs!$C$22)^(Z$4-1)*(1+0)</f>
        <v>45</v>
      </c>
      <c r="AA17" s="33">
        <f>Inputs!$C$21*(1+Inputs!$C$22)^(AA$4-1)*(1+0)</f>
        <v>45</v>
      </c>
      <c r="AB17" s="33">
        <f>Inputs!$C$21*(1+Inputs!$C$22)^(AB$4-1)*(1+0)</f>
        <v>45</v>
      </c>
    </row>
    <row r="18" spans="1:28" x14ac:dyDescent="0.25">
      <c r="A18" s="4" t="s">
        <v>344</v>
      </c>
      <c r="B18" s="2" t="s">
        <v>225</v>
      </c>
      <c r="D18" s="5">
        <f t="shared" ref="D18:AB18" si="2">D9*D16</f>
        <v>457380</v>
      </c>
      <c r="E18" s="5">
        <f t="shared" si="2"/>
        <v>460105.98479999992</v>
      </c>
      <c r="F18" s="5">
        <f t="shared" si="2"/>
        <v>462848.2164694079</v>
      </c>
      <c r="G18" s="5">
        <f t="shared" si="2"/>
        <v>465606.79183956556</v>
      </c>
      <c r="H18" s="5">
        <f t="shared" si="2"/>
        <v>468381.8083189294</v>
      </c>
      <c r="I18" s="5">
        <f t="shared" si="2"/>
        <v>471173.36389651021</v>
      </c>
      <c r="J18" s="5">
        <f t="shared" si="2"/>
        <v>473981.55714533344</v>
      </c>
      <c r="K18" s="5">
        <f t="shared" si="2"/>
        <v>476806.48722591955</v>
      </c>
      <c r="L18" s="5">
        <f t="shared" si="2"/>
        <v>479648.2538897862</v>
      </c>
      <c r="M18" s="5">
        <f t="shared" si="2"/>
        <v>482506.95748296939</v>
      </c>
      <c r="N18" s="5">
        <f t="shared" si="2"/>
        <v>485382.69894956786</v>
      </c>
      <c r="O18" s="5">
        <f t="shared" si="2"/>
        <v>488275.57983530714</v>
      </c>
      <c r="P18" s="5">
        <f t="shared" si="2"/>
        <v>491185.70229112561</v>
      </c>
      <c r="Q18" s="5">
        <f t="shared" si="2"/>
        <v>494113.16907678085</v>
      </c>
      <c r="R18" s="5">
        <f t="shared" si="2"/>
        <v>497058.0835644785</v>
      </c>
      <c r="S18" s="5">
        <f t="shared" si="2"/>
        <v>500020.54974252253</v>
      </c>
      <c r="T18" s="5">
        <f t="shared" si="2"/>
        <v>503000.67221898818</v>
      </c>
      <c r="U18" s="5">
        <f t="shared" si="2"/>
        <v>505998.55622541328</v>
      </c>
      <c r="V18" s="5">
        <f t="shared" si="2"/>
        <v>509014.30762051686</v>
      </c>
      <c r="W18" s="5">
        <f t="shared" si="2"/>
        <v>512048.03289393504</v>
      </c>
      <c r="X18" s="5">
        <f t="shared" si="2"/>
        <v>0</v>
      </c>
      <c r="Y18" s="5">
        <f t="shared" si="2"/>
        <v>0</v>
      </c>
      <c r="Z18" s="5">
        <f t="shared" si="2"/>
        <v>0</v>
      </c>
      <c r="AA18" s="5">
        <f t="shared" si="2"/>
        <v>0</v>
      </c>
      <c r="AB18" s="5">
        <f t="shared" si="2"/>
        <v>0</v>
      </c>
    </row>
    <row r="19" spans="1:28" x14ac:dyDescent="0.25">
      <c r="A19" s="4" t="s">
        <v>345</v>
      </c>
      <c r="B19" s="2" t="s">
        <v>225</v>
      </c>
      <c r="D19" s="5">
        <f>D13*(1-Inputs!$C$26)*(Inputs!$C$25-Inputs!$C$28)+D14*(D17-Inputs!$C$28)</f>
        <v>74844.000000000015</v>
      </c>
      <c r="E19" s="5">
        <f>E13*(1-Inputs!$C$26)*(Inputs!$C$25-Inputs!$C$28)+E14*(E17-Inputs!$C$28)</f>
        <v>74544.624000000011</v>
      </c>
      <c r="F19" s="5">
        <f>F13*(1-Inputs!$C$26)*(Inputs!$C$25-Inputs!$C$28)+F14*(F17-Inputs!$C$28)</f>
        <v>74246.445504000003</v>
      </c>
      <c r="G19" s="5">
        <f>G13*(1-Inputs!$C$26)*(Inputs!$C$25-Inputs!$C$28)+G14*(G17-Inputs!$C$28)</f>
        <v>73949.459721984022</v>
      </c>
      <c r="H19" s="5">
        <f>H13*(1-Inputs!$C$26)*(Inputs!$C$25-Inputs!$C$28)+H14*(H17-Inputs!$C$28)</f>
        <v>73653.661883096065</v>
      </c>
      <c r="I19" s="5">
        <f>I13*(1-Inputs!$C$26)*(Inputs!$C$25-Inputs!$C$28)+I14*(I17-Inputs!$C$28)</f>
        <v>73359.047235563688</v>
      </c>
      <c r="J19" s="5">
        <f>J13*(1-Inputs!$C$26)*(Inputs!$C$25-Inputs!$C$28)+J14*(J17-Inputs!$C$28)</f>
        <v>73065.61104662143</v>
      </c>
      <c r="K19" s="5">
        <f>K13*(1-Inputs!$C$26)*(Inputs!$C$25-Inputs!$C$28)+K14*(K17-Inputs!$C$28)</f>
        <v>72773.34860243494</v>
      </c>
      <c r="L19" s="5">
        <f>L13*(1-Inputs!$C$26)*(Inputs!$C$25-Inputs!$C$28)+L14*(L17-Inputs!$C$28)</f>
        <v>72482.255208025206</v>
      </c>
      <c r="M19" s="5">
        <f>M13*(1-Inputs!$C$26)*(Inputs!$C$25-Inputs!$C$28)+M14*(M17-Inputs!$C$28)</f>
        <v>72192.326187193117</v>
      </c>
      <c r="N19" s="5">
        <f>N13*(1-Inputs!$C$26)*(Inputs!$C$25-Inputs!$C$28)+N14*(N17-Inputs!$C$28)</f>
        <v>71903.556882444333</v>
      </c>
      <c r="O19" s="5">
        <f>O13*(1-Inputs!$C$26)*(Inputs!$C$25-Inputs!$C$28)+O14*(O17-Inputs!$C$28)</f>
        <v>71615.942654914557</v>
      </c>
      <c r="P19" s="5">
        <f>P13*(1-Inputs!$C$26)*(Inputs!$C$25-Inputs!$C$28)+P14*(P17-Inputs!$C$28)</f>
        <v>71329.478884294906</v>
      </c>
      <c r="Q19" s="5">
        <f>Q13*(1-Inputs!$C$26)*(Inputs!$C$25-Inputs!$C$28)+Q14*(Q17-Inputs!$C$28)</f>
        <v>71044.160968757729</v>
      </c>
      <c r="R19" s="5">
        <f>R13*(1-Inputs!$C$26)*(Inputs!$C$25-Inputs!$C$28)+R14*(R17-Inputs!$C$28)</f>
        <v>70759.984324882695</v>
      </c>
      <c r="S19" s="5">
        <f>S13*(1-Inputs!$C$26)*(Inputs!$C$25-Inputs!$C$28)+S14*(S17-Inputs!$C$28)</f>
        <v>70476.944387583149</v>
      </c>
      <c r="T19" s="5">
        <f>T13*(1-Inputs!$C$26)*(Inputs!$C$25-Inputs!$C$28)+T14*(T17-Inputs!$C$28)</f>
        <v>70195.036610032839</v>
      </c>
      <c r="U19" s="5">
        <f>U13*(1-Inputs!$C$26)*(Inputs!$C$25-Inputs!$C$28)+U14*(U17-Inputs!$C$28)</f>
        <v>69914.256463592697</v>
      </c>
      <c r="V19" s="5">
        <f>V13*(1-Inputs!$C$26)*(Inputs!$C$25-Inputs!$C$28)+V14*(V17-Inputs!$C$28)</f>
        <v>69634.599437738332</v>
      </c>
      <c r="W19" s="5">
        <f>W13*(1-Inputs!$C$26)*(Inputs!$C$25-Inputs!$C$28)+W14*(W17-Inputs!$C$28)</f>
        <v>69356.061039987369</v>
      </c>
      <c r="X19" s="5">
        <f>X13*(1-Inputs!$C$26)*(Inputs!$C$25-Inputs!$C$28)+X14*(X17-Inputs!$C$28)</f>
        <v>230262.12265275806</v>
      </c>
      <c r="Y19" s="5">
        <f>Y13*(1-Inputs!$C$26)*(Inputs!$C$25-Inputs!$C$28)+Y14*(Y17-Inputs!$C$28)</f>
        <v>229341.07416214701</v>
      </c>
      <c r="Z19" s="5">
        <f>Z13*(1-Inputs!$C$26)*(Inputs!$C$25-Inputs!$C$28)+Z14*(Z17-Inputs!$C$28)</f>
        <v>228423.70986549847</v>
      </c>
      <c r="AA19" s="5">
        <f>AA13*(1-Inputs!$C$26)*(Inputs!$C$25-Inputs!$C$28)+AA14*(AA17-Inputs!$C$28)</f>
        <v>227510.01502603645</v>
      </c>
      <c r="AB19" s="5">
        <f>AB13*(1-Inputs!$C$26)*(Inputs!$C$25-Inputs!$C$28)+AB14*(AB17-Inputs!$C$28)</f>
        <v>226599.97496593228</v>
      </c>
    </row>
    <row r="20" spans="1:28" x14ac:dyDescent="0.25">
      <c r="A20" s="3" t="s">
        <v>346</v>
      </c>
      <c r="B20" s="2" t="s">
        <v>225</v>
      </c>
      <c r="D20" s="25">
        <f t="shared" ref="D20:AB20" si="3">D18+D19</f>
        <v>532224</v>
      </c>
      <c r="E20" s="25">
        <f t="shared" si="3"/>
        <v>534650.60879999993</v>
      </c>
      <c r="F20" s="25">
        <f t="shared" si="3"/>
        <v>537094.66197340796</v>
      </c>
      <c r="G20" s="25">
        <f t="shared" si="3"/>
        <v>539556.25156154961</v>
      </c>
      <c r="H20" s="25">
        <f t="shared" si="3"/>
        <v>542035.47020202549</v>
      </c>
      <c r="I20" s="25">
        <f t="shared" si="3"/>
        <v>544532.41113207396</v>
      </c>
      <c r="J20" s="25">
        <f t="shared" si="3"/>
        <v>547047.16819195484</v>
      </c>
      <c r="K20" s="25">
        <f t="shared" si="3"/>
        <v>549579.83582835447</v>
      </c>
      <c r="L20" s="25">
        <f t="shared" si="3"/>
        <v>552130.50909781142</v>
      </c>
      <c r="M20" s="25">
        <f t="shared" si="3"/>
        <v>554699.28367016255</v>
      </c>
      <c r="N20" s="25">
        <f t="shared" si="3"/>
        <v>557286.25583201216</v>
      </c>
      <c r="O20" s="25">
        <f t="shared" si="3"/>
        <v>559891.52249022166</v>
      </c>
      <c r="P20" s="25">
        <f t="shared" si="3"/>
        <v>562515.18117542053</v>
      </c>
      <c r="Q20" s="25">
        <f t="shared" si="3"/>
        <v>565157.33004553861</v>
      </c>
      <c r="R20" s="25">
        <f t="shared" si="3"/>
        <v>567818.06788936118</v>
      </c>
      <c r="S20" s="25">
        <f t="shared" si="3"/>
        <v>570497.49413010571</v>
      </c>
      <c r="T20" s="25">
        <f t="shared" si="3"/>
        <v>573195.70882902108</v>
      </c>
      <c r="U20" s="25">
        <f t="shared" si="3"/>
        <v>575912.81268900598</v>
      </c>
      <c r="V20" s="25">
        <f t="shared" si="3"/>
        <v>578648.90705825516</v>
      </c>
      <c r="W20" s="25">
        <f t="shared" si="3"/>
        <v>581404.09393392247</v>
      </c>
      <c r="X20" s="25">
        <f t="shared" si="3"/>
        <v>230262.12265275806</v>
      </c>
      <c r="Y20" s="25">
        <f t="shared" si="3"/>
        <v>229341.07416214701</v>
      </c>
      <c r="Z20" s="25">
        <f t="shared" si="3"/>
        <v>228423.70986549847</v>
      </c>
      <c r="AA20" s="25">
        <f t="shared" si="3"/>
        <v>227510.01502603645</v>
      </c>
      <c r="AB20" s="25">
        <f t="shared" si="3"/>
        <v>226599.97496593228</v>
      </c>
    </row>
    <row r="21" spans="1:28" x14ac:dyDescent="0.25">
      <c r="A21" s="31" t="s">
        <v>347</v>
      </c>
    </row>
    <row r="22" spans="1:28" x14ac:dyDescent="0.25">
      <c r="A22" s="4" t="s">
        <v>176</v>
      </c>
      <c r="B22" s="2" t="s">
        <v>225</v>
      </c>
      <c r="D22" s="5">
        <f>Inputs!$C$71*Inputs!$C$32*(1+Inputs!$C$39)^(D$4-1)*D6</f>
        <v>60000</v>
      </c>
      <c r="E22" s="5">
        <f>Inputs!$C$71*Inputs!$C$32*(1+Inputs!$C$39)^(E$4-1)*E6</f>
        <v>61200</v>
      </c>
      <c r="F22" s="5">
        <f>Inputs!$C$71*Inputs!$C$32*(1+Inputs!$C$39)^(F$4-1)*F6</f>
        <v>62424</v>
      </c>
      <c r="G22" s="5">
        <f>Inputs!$C$71*Inputs!$C$32*(1+Inputs!$C$39)^(G$4-1)*G6</f>
        <v>63672.479999999996</v>
      </c>
      <c r="H22" s="5">
        <f>Inputs!$C$71*Inputs!$C$32*(1+Inputs!$C$39)^(H$4-1)*H6</f>
        <v>64945.929599999996</v>
      </c>
      <c r="I22" s="5">
        <f>Inputs!$C$71*Inputs!$C$32*(1+Inputs!$C$39)^(I$4-1)*I6</f>
        <v>66244.848192000005</v>
      </c>
      <c r="J22" s="5">
        <f>Inputs!$C$71*Inputs!$C$32*(1+Inputs!$C$39)^(J$4-1)*J6</f>
        <v>67569.745155840006</v>
      </c>
      <c r="K22" s="5">
        <f>Inputs!$C$71*Inputs!$C$32*(1+Inputs!$C$39)^(K$4-1)*K6</f>
        <v>68921.140058956793</v>
      </c>
      <c r="L22" s="5">
        <f>Inputs!$C$71*Inputs!$C$32*(1+Inputs!$C$39)^(L$4-1)*L6</f>
        <v>70299.562860135935</v>
      </c>
      <c r="M22" s="5">
        <f>Inputs!$C$71*Inputs!$C$32*(1+Inputs!$C$39)^(M$4-1)*M6</f>
        <v>71705.554117338645</v>
      </c>
      <c r="N22" s="5">
        <f>Inputs!$C$71*Inputs!$C$32*(1+Inputs!$C$39)^(N$4-1)*N6</f>
        <v>73139.66519968542</v>
      </c>
      <c r="O22" s="5">
        <f>Inputs!$C$71*Inputs!$C$32*(1+Inputs!$C$39)^(O$4-1)*O6</f>
        <v>74602.458503679125</v>
      </c>
      <c r="P22" s="5">
        <f>Inputs!$C$71*Inputs!$C$32*(1+Inputs!$C$39)^(P$4-1)*P6</f>
        <v>76094.507673752712</v>
      </c>
      <c r="Q22" s="5">
        <f>Inputs!$C$71*Inputs!$C$32*(1+Inputs!$C$39)^(Q$4-1)*Q6</f>
        <v>77616.39782722776</v>
      </c>
      <c r="R22" s="5">
        <f>Inputs!$C$71*Inputs!$C$32*(1+Inputs!$C$39)^(R$4-1)*R6</f>
        <v>79168.72578377233</v>
      </c>
      <c r="S22" s="5">
        <f>Inputs!$C$71*Inputs!$C$32*(1+Inputs!$C$39)^(S$4-1)*S6</f>
        <v>80752.10029944776</v>
      </c>
      <c r="T22" s="5">
        <f>Inputs!$C$71*Inputs!$C$32*(1+Inputs!$C$39)^(T$4-1)*T6</f>
        <v>82367.142305436719</v>
      </c>
      <c r="U22" s="5">
        <f>Inputs!$C$71*Inputs!$C$32*(1+Inputs!$C$39)^(U$4-1)*U6</f>
        <v>84014.485151545465</v>
      </c>
      <c r="V22" s="5">
        <f>Inputs!$C$71*Inputs!$C$32*(1+Inputs!$C$39)^(V$4-1)*V6</f>
        <v>85694.774854576361</v>
      </c>
      <c r="W22" s="5">
        <f>Inputs!$C$71*Inputs!$C$32*(1+Inputs!$C$39)^(W$4-1)*W6</f>
        <v>87408.670351667883</v>
      </c>
      <c r="X22" s="5">
        <f>Inputs!$C$71*Inputs!$C$32*(1+Inputs!$C$39)^(X$4-1)*X6</f>
        <v>89156.84375870126</v>
      </c>
      <c r="Y22" s="5">
        <f>Inputs!$C$71*Inputs!$C$32*(1+Inputs!$C$39)^(Y$4-1)*Y6</f>
        <v>90939.980633875268</v>
      </c>
      <c r="Z22" s="5">
        <f>Inputs!$C$71*Inputs!$C$32*(1+Inputs!$C$39)^(Z$4-1)*Z6</f>
        <v>92758.780246552778</v>
      </c>
      <c r="AA22" s="5">
        <f>Inputs!$C$71*Inputs!$C$32*(1+Inputs!$C$39)^(AA$4-1)*AA6</f>
        <v>94613.955851483828</v>
      </c>
      <c r="AB22" s="5">
        <f>Inputs!$C$71*Inputs!$C$32*(1+Inputs!$C$39)^(AB$4-1)*AB6</f>
        <v>96506.234968513498</v>
      </c>
    </row>
    <row r="23" spans="1:28" x14ac:dyDescent="0.25">
      <c r="A23" s="4" t="s">
        <v>180</v>
      </c>
      <c r="B23" s="2" t="s">
        <v>225</v>
      </c>
      <c r="D23" s="5">
        <f>Inputs!$C$71*Inputs!$C$33*(1+Inputs!$C$39)^(D$4-1)*D6</f>
        <v>15000</v>
      </c>
      <c r="E23" s="5">
        <f>Inputs!$C$71*Inputs!$C$33*(1+Inputs!$C$39)^(E$4-1)*E6</f>
        <v>15300</v>
      </c>
      <c r="F23" s="5">
        <f>Inputs!$C$71*Inputs!$C$33*(1+Inputs!$C$39)^(F$4-1)*F6</f>
        <v>15606</v>
      </c>
      <c r="G23" s="5">
        <f>Inputs!$C$71*Inputs!$C$33*(1+Inputs!$C$39)^(G$4-1)*G6</f>
        <v>15918.119999999999</v>
      </c>
      <c r="H23" s="5">
        <f>Inputs!$C$71*Inputs!$C$33*(1+Inputs!$C$39)^(H$4-1)*H6</f>
        <v>16236.482399999999</v>
      </c>
      <c r="I23" s="5">
        <f>Inputs!$C$71*Inputs!$C$33*(1+Inputs!$C$39)^(I$4-1)*I6</f>
        <v>16561.212048000001</v>
      </c>
      <c r="J23" s="5">
        <f>Inputs!$C$71*Inputs!$C$33*(1+Inputs!$C$39)^(J$4-1)*J6</f>
        <v>16892.436288960002</v>
      </c>
      <c r="K23" s="5">
        <f>Inputs!$C$71*Inputs!$C$33*(1+Inputs!$C$39)^(K$4-1)*K6</f>
        <v>17230.285014739198</v>
      </c>
      <c r="L23" s="5">
        <f>Inputs!$C$71*Inputs!$C$33*(1+Inputs!$C$39)^(L$4-1)*L6</f>
        <v>17574.890715033984</v>
      </c>
      <c r="M23" s="5">
        <f>Inputs!$C$71*Inputs!$C$33*(1+Inputs!$C$39)^(M$4-1)*M6</f>
        <v>17926.388529334661</v>
      </c>
      <c r="N23" s="5">
        <f>Inputs!$C$71*Inputs!$C$33*(1+Inputs!$C$39)^(N$4-1)*N6</f>
        <v>18284.916299921355</v>
      </c>
      <c r="O23" s="5">
        <f>Inputs!$C$71*Inputs!$C$33*(1+Inputs!$C$39)^(O$4-1)*O6</f>
        <v>18650.614625919781</v>
      </c>
      <c r="P23" s="5">
        <f>Inputs!$C$71*Inputs!$C$33*(1+Inputs!$C$39)^(P$4-1)*P6</f>
        <v>19023.626918438178</v>
      </c>
      <c r="Q23" s="5">
        <f>Inputs!$C$71*Inputs!$C$33*(1+Inputs!$C$39)^(Q$4-1)*Q6</f>
        <v>19404.09945680694</v>
      </c>
      <c r="R23" s="5">
        <f>Inputs!$C$71*Inputs!$C$33*(1+Inputs!$C$39)^(R$4-1)*R6</f>
        <v>19792.181445943083</v>
      </c>
      <c r="S23" s="5">
        <f>Inputs!$C$71*Inputs!$C$33*(1+Inputs!$C$39)^(S$4-1)*S6</f>
        <v>20188.02507486194</v>
      </c>
      <c r="T23" s="5">
        <f>Inputs!$C$71*Inputs!$C$33*(1+Inputs!$C$39)^(T$4-1)*T6</f>
        <v>20591.78557635918</v>
      </c>
      <c r="U23" s="5">
        <f>Inputs!$C$71*Inputs!$C$33*(1+Inputs!$C$39)^(U$4-1)*U6</f>
        <v>21003.621287886366</v>
      </c>
      <c r="V23" s="5">
        <f>Inputs!$C$71*Inputs!$C$33*(1+Inputs!$C$39)^(V$4-1)*V6</f>
        <v>21423.69371364409</v>
      </c>
      <c r="W23" s="5">
        <f>Inputs!$C$71*Inputs!$C$33*(1+Inputs!$C$39)^(W$4-1)*W6</f>
        <v>21852.167587916971</v>
      </c>
      <c r="X23" s="5">
        <f>Inputs!$C$71*Inputs!$C$33*(1+Inputs!$C$39)^(X$4-1)*X6</f>
        <v>22289.210939675315</v>
      </c>
      <c r="Y23" s="5">
        <f>Inputs!$C$71*Inputs!$C$33*(1+Inputs!$C$39)^(Y$4-1)*Y6</f>
        <v>22734.995158468817</v>
      </c>
      <c r="Z23" s="5">
        <f>Inputs!$C$71*Inputs!$C$33*(1+Inputs!$C$39)^(Z$4-1)*Z6</f>
        <v>23189.695061638195</v>
      </c>
      <c r="AA23" s="5">
        <f>Inputs!$C$71*Inputs!$C$33*(1+Inputs!$C$39)^(AA$4-1)*AA6</f>
        <v>23653.488962870957</v>
      </c>
      <c r="AB23" s="5">
        <f>Inputs!$C$71*Inputs!$C$33*(1+Inputs!$C$39)^(AB$4-1)*AB6</f>
        <v>24126.558742128374</v>
      </c>
    </row>
    <row r="24" spans="1:28" x14ac:dyDescent="0.25">
      <c r="A24" s="4" t="s">
        <v>183</v>
      </c>
      <c r="B24" s="2" t="s">
        <v>225</v>
      </c>
      <c r="D24" s="5">
        <f>Inputs!$C$71*Inputs!$C$34*(1+Inputs!$C$39)^(D$4-1)*D6</f>
        <v>24000</v>
      </c>
      <c r="E24" s="5">
        <f>Inputs!$C$71*Inputs!$C$34*(1+Inputs!$C$39)^(E$4-1)*E6</f>
        <v>24480</v>
      </c>
      <c r="F24" s="5">
        <f>Inputs!$C$71*Inputs!$C$34*(1+Inputs!$C$39)^(F$4-1)*F6</f>
        <v>24969.599999999999</v>
      </c>
      <c r="G24" s="5">
        <f>Inputs!$C$71*Inputs!$C$34*(1+Inputs!$C$39)^(G$4-1)*G6</f>
        <v>25468.991999999998</v>
      </c>
      <c r="H24" s="5">
        <f>Inputs!$C$71*Inputs!$C$34*(1+Inputs!$C$39)^(H$4-1)*H6</f>
        <v>25978.37184</v>
      </c>
      <c r="I24" s="5">
        <f>Inputs!$C$71*Inputs!$C$34*(1+Inputs!$C$39)^(I$4-1)*I6</f>
        <v>26497.9392768</v>
      </c>
      <c r="J24" s="5">
        <f>Inputs!$C$71*Inputs!$C$34*(1+Inputs!$C$39)^(J$4-1)*J6</f>
        <v>27027.898062336</v>
      </c>
      <c r="K24" s="5">
        <f>Inputs!$C$71*Inputs!$C$34*(1+Inputs!$C$39)^(K$4-1)*K6</f>
        <v>27568.456023582716</v>
      </c>
      <c r="L24" s="5">
        <f>Inputs!$C$71*Inputs!$C$34*(1+Inputs!$C$39)^(L$4-1)*L6</f>
        <v>28119.825144054372</v>
      </c>
      <c r="M24" s="5">
        <f>Inputs!$C$71*Inputs!$C$34*(1+Inputs!$C$39)^(M$4-1)*M6</f>
        <v>28682.221646935461</v>
      </c>
      <c r="N24" s="5">
        <f>Inputs!$C$71*Inputs!$C$34*(1+Inputs!$C$39)^(N$4-1)*N6</f>
        <v>29255.866079874169</v>
      </c>
      <c r="O24" s="5">
        <f>Inputs!$C$71*Inputs!$C$34*(1+Inputs!$C$39)^(O$4-1)*O6</f>
        <v>29840.983401471647</v>
      </c>
      <c r="P24" s="5">
        <f>Inputs!$C$71*Inputs!$C$34*(1+Inputs!$C$39)^(P$4-1)*P6</f>
        <v>30437.803069501086</v>
      </c>
      <c r="Q24" s="5">
        <f>Inputs!$C$71*Inputs!$C$34*(1+Inputs!$C$39)^(Q$4-1)*Q6</f>
        <v>31046.559130891106</v>
      </c>
      <c r="R24" s="5">
        <f>Inputs!$C$71*Inputs!$C$34*(1+Inputs!$C$39)^(R$4-1)*R6</f>
        <v>31667.49031350893</v>
      </c>
      <c r="S24" s="5">
        <f>Inputs!$C$71*Inputs!$C$34*(1+Inputs!$C$39)^(S$4-1)*S6</f>
        <v>32300.840119779103</v>
      </c>
      <c r="T24" s="5">
        <f>Inputs!$C$71*Inputs!$C$34*(1+Inputs!$C$39)^(T$4-1)*T6</f>
        <v>32946.856922174687</v>
      </c>
      <c r="U24" s="5">
        <f>Inputs!$C$71*Inputs!$C$34*(1+Inputs!$C$39)^(U$4-1)*U6</f>
        <v>33605.794060618187</v>
      </c>
      <c r="V24" s="5">
        <f>Inputs!$C$71*Inputs!$C$34*(1+Inputs!$C$39)^(V$4-1)*V6</f>
        <v>34277.909941830549</v>
      </c>
      <c r="W24" s="5">
        <f>Inputs!$C$71*Inputs!$C$34*(1+Inputs!$C$39)^(W$4-1)*W6</f>
        <v>34963.468140667152</v>
      </c>
      <c r="X24" s="5">
        <f>Inputs!$C$71*Inputs!$C$34*(1+Inputs!$C$39)^(X$4-1)*X6</f>
        <v>35662.737503480501</v>
      </c>
      <c r="Y24" s="5">
        <f>Inputs!$C$71*Inputs!$C$34*(1+Inputs!$C$39)^(Y$4-1)*Y6</f>
        <v>36375.99225355011</v>
      </c>
      <c r="Z24" s="5">
        <f>Inputs!$C$71*Inputs!$C$34*(1+Inputs!$C$39)^(Z$4-1)*Z6</f>
        <v>37103.512098621111</v>
      </c>
      <c r="AA24" s="5">
        <f>Inputs!$C$71*Inputs!$C$34*(1+Inputs!$C$39)^(AA$4-1)*AA6</f>
        <v>37845.58234059353</v>
      </c>
      <c r="AB24" s="5">
        <f>Inputs!$C$71*Inputs!$C$34*(1+Inputs!$C$39)^(AB$4-1)*AB6</f>
        <v>38602.493987405403</v>
      </c>
    </row>
    <row r="25" spans="1:28" x14ac:dyDescent="0.25">
      <c r="A25" s="4" t="s">
        <v>348</v>
      </c>
      <c r="B25" s="2" t="s">
        <v>225</v>
      </c>
      <c r="D25" s="5">
        <f>Inputs!$C$35*(1+Inputs!$C$39)^(D$4-1)*D6</f>
        <v>20000</v>
      </c>
      <c r="E25" s="5">
        <f>Inputs!$C$35*(1+Inputs!$C$39)^(E$4-1)*E6</f>
        <v>20400</v>
      </c>
      <c r="F25" s="5">
        <f>Inputs!$C$35*(1+Inputs!$C$39)^(F$4-1)*F6</f>
        <v>20808</v>
      </c>
      <c r="G25" s="5">
        <f>Inputs!$C$35*(1+Inputs!$C$39)^(G$4-1)*G6</f>
        <v>21224.16</v>
      </c>
      <c r="H25" s="5">
        <f>Inputs!$C$35*(1+Inputs!$C$39)^(H$4-1)*H6</f>
        <v>21648.643199999999</v>
      </c>
      <c r="I25" s="5">
        <f>Inputs!$C$35*(1+Inputs!$C$39)^(I$4-1)*I6</f>
        <v>22081.616064000002</v>
      </c>
      <c r="J25" s="5">
        <f>Inputs!$C$35*(1+Inputs!$C$39)^(J$4-1)*J6</f>
        <v>22523.24838528</v>
      </c>
      <c r="K25" s="5">
        <f>Inputs!$C$35*(1+Inputs!$C$39)^(K$4-1)*K6</f>
        <v>22973.713352985596</v>
      </c>
      <c r="L25" s="5">
        <f>Inputs!$C$35*(1+Inputs!$C$39)^(L$4-1)*L6</f>
        <v>23433.187620045312</v>
      </c>
      <c r="M25" s="5">
        <f>Inputs!$C$35*(1+Inputs!$C$39)^(M$4-1)*M6</f>
        <v>23901.851372446217</v>
      </c>
      <c r="N25" s="5">
        <f>Inputs!$C$35*(1+Inputs!$C$39)^(N$4-1)*N6</f>
        <v>24379.888399895142</v>
      </c>
      <c r="O25" s="5">
        <f>Inputs!$C$35*(1+Inputs!$C$39)^(O$4-1)*O6</f>
        <v>24867.486167893039</v>
      </c>
      <c r="P25" s="5">
        <f>Inputs!$C$35*(1+Inputs!$C$39)^(P$4-1)*P6</f>
        <v>25364.835891250907</v>
      </c>
      <c r="Q25" s="5">
        <f>Inputs!$C$35*(1+Inputs!$C$39)^(Q$4-1)*Q6</f>
        <v>25872.132609075921</v>
      </c>
      <c r="R25" s="5">
        <f>Inputs!$C$35*(1+Inputs!$C$39)^(R$4-1)*R6</f>
        <v>26389.575261257443</v>
      </c>
      <c r="S25" s="5">
        <f>Inputs!$C$35*(1+Inputs!$C$39)^(S$4-1)*S6</f>
        <v>26917.366766482584</v>
      </c>
      <c r="T25" s="5">
        <f>Inputs!$C$35*(1+Inputs!$C$39)^(T$4-1)*T6</f>
        <v>27455.714101812242</v>
      </c>
      <c r="U25" s="5">
        <f>Inputs!$C$35*(1+Inputs!$C$39)^(U$4-1)*U6</f>
        <v>28004.828383848489</v>
      </c>
      <c r="V25" s="5">
        <f>Inputs!$C$35*(1+Inputs!$C$39)^(V$4-1)*V6</f>
        <v>28564.924951525456</v>
      </c>
      <c r="W25" s="5">
        <f>Inputs!$C$35*(1+Inputs!$C$39)^(W$4-1)*W6</f>
        <v>29136.223450555961</v>
      </c>
      <c r="X25" s="5">
        <f>Inputs!$C$35*(1+Inputs!$C$39)^(X$4-1)*X6</f>
        <v>29718.947919567087</v>
      </c>
      <c r="Y25" s="5">
        <f>Inputs!$C$35*(1+Inputs!$C$39)^(Y$4-1)*Y6</f>
        <v>30313.326877958425</v>
      </c>
      <c r="Z25" s="5">
        <f>Inputs!$C$35*(1+Inputs!$C$39)^(Z$4-1)*Z6</f>
        <v>30919.593415517593</v>
      </c>
      <c r="AA25" s="5">
        <f>Inputs!$C$35*(1+Inputs!$C$39)^(AA$4-1)*AA6</f>
        <v>31537.98528382794</v>
      </c>
      <c r="AB25" s="5">
        <f>Inputs!$C$35*(1+Inputs!$C$39)^(AB$4-1)*AB6</f>
        <v>32168.744989504499</v>
      </c>
    </row>
    <row r="26" spans="1:28" x14ac:dyDescent="0.25">
      <c r="A26" s="4" t="s">
        <v>349</v>
      </c>
      <c r="B26" s="2" t="s">
        <v>225</v>
      </c>
      <c r="D26" s="5">
        <f>Inputs!$C$36*Inputs!$C$7*(1+Inputs!$C$39)^(D$4-1)*D6</f>
        <v>4000</v>
      </c>
      <c r="E26" s="5">
        <f>Inputs!$C$36*Inputs!$C$7*(1+Inputs!$C$39)^(E$4-1)*E6</f>
        <v>4080</v>
      </c>
      <c r="F26" s="5">
        <f>Inputs!$C$36*Inputs!$C$7*(1+Inputs!$C$39)^(F$4-1)*F6</f>
        <v>4161.6000000000004</v>
      </c>
      <c r="G26" s="5">
        <f>Inputs!$C$36*Inputs!$C$7*(1+Inputs!$C$39)^(G$4-1)*G6</f>
        <v>4244.8319999999994</v>
      </c>
      <c r="H26" s="5">
        <f>Inputs!$C$36*Inputs!$C$7*(1+Inputs!$C$39)^(H$4-1)*H6</f>
        <v>4329.7286400000003</v>
      </c>
      <c r="I26" s="5">
        <f>Inputs!$C$36*Inputs!$C$7*(1+Inputs!$C$39)^(I$4-1)*I6</f>
        <v>4416.3232128</v>
      </c>
      <c r="J26" s="5">
        <f>Inputs!$C$36*Inputs!$C$7*(1+Inputs!$C$39)^(J$4-1)*J6</f>
        <v>4504.6496770560007</v>
      </c>
      <c r="K26" s="5">
        <f>Inputs!$C$36*Inputs!$C$7*(1+Inputs!$C$39)^(K$4-1)*K6</f>
        <v>4594.7426705971193</v>
      </c>
      <c r="L26" s="5">
        <f>Inputs!$C$36*Inputs!$C$7*(1+Inputs!$C$39)^(L$4-1)*L6</f>
        <v>4686.637524009062</v>
      </c>
      <c r="M26" s="5">
        <f>Inputs!$C$36*Inputs!$C$7*(1+Inputs!$C$39)^(M$4-1)*M6</f>
        <v>4780.3702744892435</v>
      </c>
      <c r="N26" s="5">
        <f>Inputs!$C$36*Inputs!$C$7*(1+Inputs!$C$39)^(N$4-1)*N6</f>
        <v>4875.9776799790288</v>
      </c>
      <c r="O26" s="5">
        <f>Inputs!$C$36*Inputs!$C$7*(1+Inputs!$C$39)^(O$4-1)*O6</f>
        <v>4973.4972335786078</v>
      </c>
      <c r="P26" s="5">
        <f>Inputs!$C$36*Inputs!$C$7*(1+Inputs!$C$39)^(P$4-1)*P6</f>
        <v>5072.967178250181</v>
      </c>
      <c r="Q26" s="5">
        <f>Inputs!$C$36*Inputs!$C$7*(1+Inputs!$C$39)^(Q$4-1)*Q6</f>
        <v>5174.4265218151841</v>
      </c>
      <c r="R26" s="5">
        <f>Inputs!$C$36*Inputs!$C$7*(1+Inputs!$C$39)^(R$4-1)*R6</f>
        <v>5277.9150522514883</v>
      </c>
      <c r="S26" s="5">
        <f>Inputs!$C$36*Inputs!$C$7*(1+Inputs!$C$39)^(S$4-1)*S6</f>
        <v>5383.4733532965165</v>
      </c>
      <c r="T26" s="5">
        <f>Inputs!$C$36*Inputs!$C$7*(1+Inputs!$C$39)^(T$4-1)*T6</f>
        <v>5491.1428203624482</v>
      </c>
      <c r="U26" s="5">
        <f>Inputs!$C$36*Inputs!$C$7*(1+Inputs!$C$39)^(U$4-1)*U6</f>
        <v>5600.9656767696979</v>
      </c>
      <c r="V26" s="5">
        <f>Inputs!$C$36*Inputs!$C$7*(1+Inputs!$C$39)^(V$4-1)*V6</f>
        <v>5712.9849903050908</v>
      </c>
      <c r="W26" s="5">
        <f>Inputs!$C$36*Inputs!$C$7*(1+Inputs!$C$39)^(W$4-1)*W6</f>
        <v>5827.2446901111925</v>
      </c>
      <c r="X26" s="5">
        <f>Inputs!$C$36*Inputs!$C$7*(1+Inputs!$C$39)^(X$4-1)*X6</f>
        <v>5943.7895839134171</v>
      </c>
      <c r="Y26" s="5">
        <f>Inputs!$C$36*Inputs!$C$7*(1+Inputs!$C$39)^(Y$4-1)*Y6</f>
        <v>6062.665375591685</v>
      </c>
      <c r="Z26" s="5">
        <f>Inputs!$C$36*Inputs!$C$7*(1+Inputs!$C$39)^(Z$4-1)*Z6</f>
        <v>6183.9186831035186</v>
      </c>
      <c r="AA26" s="5">
        <f>Inputs!$C$36*Inputs!$C$7*(1+Inputs!$C$39)^(AA$4-1)*AA6</f>
        <v>6307.5970567655877</v>
      </c>
      <c r="AB26" s="5">
        <f>Inputs!$C$36*Inputs!$C$7*(1+Inputs!$C$39)^(AB$4-1)*AB6</f>
        <v>6433.7489979009006</v>
      </c>
    </row>
    <row r="27" spans="1:28" x14ac:dyDescent="0.25">
      <c r="A27" s="4" t="s">
        <v>195</v>
      </c>
      <c r="B27" s="2" t="s">
        <v>225</v>
      </c>
      <c r="D27" s="5">
        <f>Inputs!$C$71*Inputs!$C$37*(1+Inputs!$C$39)^(D$4-1)*D6</f>
        <v>24000</v>
      </c>
      <c r="E27" s="5">
        <f>Inputs!$C$71*Inputs!$C$37*(1+Inputs!$C$39)^(E$4-1)*E6</f>
        <v>24480</v>
      </c>
      <c r="F27" s="5">
        <f>Inputs!$C$71*Inputs!$C$37*(1+Inputs!$C$39)^(F$4-1)*F6</f>
        <v>24969.599999999999</v>
      </c>
      <c r="G27" s="5">
        <f>Inputs!$C$71*Inputs!$C$37*(1+Inputs!$C$39)^(G$4-1)*G6</f>
        <v>25468.991999999998</v>
      </c>
      <c r="H27" s="5">
        <f>Inputs!$C$71*Inputs!$C$37*(1+Inputs!$C$39)^(H$4-1)*H6</f>
        <v>25978.37184</v>
      </c>
      <c r="I27" s="5">
        <f>Inputs!$C$71*Inputs!$C$37*(1+Inputs!$C$39)^(I$4-1)*I6</f>
        <v>26497.9392768</v>
      </c>
      <c r="J27" s="5">
        <f>Inputs!$C$71*Inputs!$C$37*(1+Inputs!$C$39)^(J$4-1)*J6</f>
        <v>27027.898062336</v>
      </c>
      <c r="K27" s="5">
        <f>Inputs!$C$71*Inputs!$C$37*(1+Inputs!$C$39)^(K$4-1)*K6</f>
        <v>27568.456023582716</v>
      </c>
      <c r="L27" s="5">
        <f>Inputs!$C$71*Inputs!$C$37*(1+Inputs!$C$39)^(L$4-1)*L6</f>
        <v>28119.825144054372</v>
      </c>
      <c r="M27" s="5">
        <f>Inputs!$C$71*Inputs!$C$37*(1+Inputs!$C$39)^(M$4-1)*M6</f>
        <v>28682.221646935461</v>
      </c>
      <c r="N27" s="5">
        <f>Inputs!$C$71*Inputs!$C$37*(1+Inputs!$C$39)^(N$4-1)*N6</f>
        <v>29255.866079874169</v>
      </c>
      <c r="O27" s="5">
        <f>Inputs!$C$71*Inputs!$C$37*(1+Inputs!$C$39)^(O$4-1)*O6</f>
        <v>29840.983401471647</v>
      </c>
      <c r="P27" s="5">
        <f>Inputs!$C$71*Inputs!$C$37*(1+Inputs!$C$39)^(P$4-1)*P6</f>
        <v>30437.803069501086</v>
      </c>
      <c r="Q27" s="5">
        <f>Inputs!$C$71*Inputs!$C$37*(1+Inputs!$C$39)^(Q$4-1)*Q6</f>
        <v>31046.559130891106</v>
      </c>
      <c r="R27" s="5">
        <f>Inputs!$C$71*Inputs!$C$37*(1+Inputs!$C$39)^(R$4-1)*R6</f>
        <v>31667.49031350893</v>
      </c>
      <c r="S27" s="5">
        <f>Inputs!$C$71*Inputs!$C$37*(1+Inputs!$C$39)^(S$4-1)*S6</f>
        <v>32300.840119779103</v>
      </c>
      <c r="T27" s="5">
        <f>Inputs!$C$71*Inputs!$C$37*(1+Inputs!$C$39)^(T$4-1)*T6</f>
        <v>32946.856922174687</v>
      </c>
      <c r="U27" s="5">
        <f>Inputs!$C$71*Inputs!$C$37*(1+Inputs!$C$39)^(U$4-1)*U6</f>
        <v>33605.794060618187</v>
      </c>
      <c r="V27" s="5">
        <f>Inputs!$C$71*Inputs!$C$37*(1+Inputs!$C$39)^(V$4-1)*V6</f>
        <v>34277.909941830549</v>
      </c>
      <c r="W27" s="5">
        <f>Inputs!$C$71*Inputs!$C$37*(1+Inputs!$C$39)^(W$4-1)*W6</f>
        <v>34963.468140667152</v>
      </c>
      <c r="X27" s="5">
        <f>Inputs!$C$71*Inputs!$C$37*(1+Inputs!$C$39)^(X$4-1)*X6</f>
        <v>35662.737503480501</v>
      </c>
      <c r="Y27" s="5">
        <f>Inputs!$C$71*Inputs!$C$37*(1+Inputs!$C$39)^(Y$4-1)*Y6</f>
        <v>36375.99225355011</v>
      </c>
      <c r="Z27" s="5">
        <f>Inputs!$C$71*Inputs!$C$37*(1+Inputs!$C$39)^(Z$4-1)*Z6</f>
        <v>37103.512098621111</v>
      </c>
      <c r="AA27" s="5">
        <f>Inputs!$C$71*Inputs!$C$37*(1+Inputs!$C$39)^(AA$4-1)*AA6</f>
        <v>37845.58234059353</v>
      </c>
      <c r="AB27" s="5">
        <f>Inputs!$C$71*Inputs!$C$37*(1+Inputs!$C$39)^(AB$4-1)*AB6</f>
        <v>38602.493987405403</v>
      </c>
    </row>
    <row r="28" spans="1:28" x14ac:dyDescent="0.25">
      <c r="A28" s="4" t="s">
        <v>350</v>
      </c>
      <c r="B28" s="2" t="s">
        <v>225</v>
      </c>
      <c r="D28" s="5">
        <f>Inputs!$C$38*(1+Inputs!$C$39)^(D$4-1)*D6*IF(D$4&lt;=Inputs!$C$51,1,0)</f>
        <v>20000</v>
      </c>
      <c r="E28" s="5">
        <f>Inputs!$C$38*(1+Inputs!$C$39)^(E$4-1)*E6*IF(E$4&lt;=Inputs!$C$51,1,0)</f>
        <v>20400</v>
      </c>
      <c r="F28" s="5">
        <f>Inputs!$C$38*(1+Inputs!$C$39)^(F$4-1)*F6*IF(F$4&lt;=Inputs!$C$51,1,0)</f>
        <v>20808</v>
      </c>
      <c r="G28" s="5">
        <f>Inputs!$C$38*(1+Inputs!$C$39)^(G$4-1)*G6*IF(G$4&lt;=Inputs!$C$51,1,0)</f>
        <v>21224.16</v>
      </c>
      <c r="H28" s="5">
        <f>Inputs!$C$38*(1+Inputs!$C$39)^(H$4-1)*H6*IF(H$4&lt;=Inputs!$C$51,1,0)</f>
        <v>21648.643199999999</v>
      </c>
      <c r="I28" s="5">
        <f>Inputs!$C$38*(1+Inputs!$C$39)^(I$4-1)*I6*IF(I$4&lt;=Inputs!$C$51,1,0)</f>
        <v>22081.616064000002</v>
      </c>
      <c r="J28" s="5">
        <f>Inputs!$C$38*(1+Inputs!$C$39)^(J$4-1)*J6*IF(J$4&lt;=Inputs!$C$51,1,0)</f>
        <v>22523.24838528</v>
      </c>
      <c r="K28" s="5">
        <f>Inputs!$C$38*(1+Inputs!$C$39)^(K$4-1)*K6*IF(K$4&lt;=Inputs!$C$51,1,0)</f>
        <v>22973.713352985596</v>
      </c>
      <c r="L28" s="5">
        <f>Inputs!$C$38*(1+Inputs!$C$39)^(L$4-1)*L6*IF(L$4&lt;=Inputs!$C$51,1,0)</f>
        <v>23433.187620045312</v>
      </c>
      <c r="M28" s="5">
        <f>Inputs!$C$38*(1+Inputs!$C$39)^(M$4-1)*M6*IF(M$4&lt;=Inputs!$C$51,1,0)</f>
        <v>23901.851372446217</v>
      </c>
      <c r="N28" s="5">
        <f>Inputs!$C$38*(1+Inputs!$C$39)^(N$4-1)*N6*IF(N$4&lt;=Inputs!$C$51,1,0)</f>
        <v>24379.888399895142</v>
      </c>
      <c r="O28" s="5">
        <f>Inputs!$C$38*(1+Inputs!$C$39)^(O$4-1)*O6*IF(O$4&lt;=Inputs!$C$51,1,0)</f>
        <v>24867.486167893039</v>
      </c>
      <c r="P28" s="5">
        <f>Inputs!$C$38*(1+Inputs!$C$39)^(P$4-1)*P6*IF(P$4&lt;=Inputs!$C$51,1,0)</f>
        <v>25364.835891250907</v>
      </c>
      <c r="Q28" s="5">
        <f>Inputs!$C$38*(1+Inputs!$C$39)^(Q$4-1)*Q6*IF(Q$4&lt;=Inputs!$C$51,1,0)</f>
        <v>25872.132609075921</v>
      </c>
      <c r="R28" s="5">
        <f>Inputs!$C$38*(1+Inputs!$C$39)^(R$4-1)*R6*IF(R$4&lt;=Inputs!$C$51,1,0)</f>
        <v>26389.575261257443</v>
      </c>
      <c r="S28" s="5">
        <f>Inputs!$C$38*(1+Inputs!$C$39)^(S$4-1)*S6*IF(S$4&lt;=Inputs!$C$51,1,0)</f>
        <v>0</v>
      </c>
      <c r="T28" s="5">
        <f>Inputs!$C$38*(1+Inputs!$C$39)^(T$4-1)*T6*IF(T$4&lt;=Inputs!$C$51,1,0)</f>
        <v>0</v>
      </c>
      <c r="U28" s="5">
        <f>Inputs!$C$38*(1+Inputs!$C$39)^(U$4-1)*U6*IF(U$4&lt;=Inputs!$C$51,1,0)</f>
        <v>0</v>
      </c>
      <c r="V28" s="5">
        <f>Inputs!$C$38*(1+Inputs!$C$39)^(V$4-1)*V6*IF(V$4&lt;=Inputs!$C$51,1,0)</f>
        <v>0</v>
      </c>
      <c r="W28" s="5">
        <f>Inputs!$C$38*(1+Inputs!$C$39)^(W$4-1)*W6*IF(W$4&lt;=Inputs!$C$51,1,0)</f>
        <v>0</v>
      </c>
      <c r="X28" s="5">
        <f>Inputs!$C$38*(1+Inputs!$C$39)^(X$4-1)*X6*IF(X$4&lt;=Inputs!$C$51,1,0)</f>
        <v>0</v>
      </c>
      <c r="Y28" s="5">
        <f>Inputs!$C$38*(1+Inputs!$C$39)^(Y$4-1)*Y6*IF(Y$4&lt;=Inputs!$C$51,1,0)</f>
        <v>0</v>
      </c>
      <c r="Z28" s="5">
        <f>Inputs!$C$38*(1+Inputs!$C$39)^(Z$4-1)*Z6*IF(Z$4&lt;=Inputs!$C$51,1,0)</f>
        <v>0</v>
      </c>
      <c r="AA28" s="5">
        <f>Inputs!$C$38*(1+Inputs!$C$39)^(AA$4-1)*AA6*IF(AA$4&lt;=Inputs!$C$51,1,0)</f>
        <v>0</v>
      </c>
      <c r="AB28" s="5">
        <f>Inputs!$C$38*(1+Inputs!$C$39)^(AB$4-1)*AB6*IF(AB$4&lt;=Inputs!$C$51,1,0)</f>
        <v>0</v>
      </c>
    </row>
    <row r="29" spans="1:28" x14ac:dyDescent="0.25">
      <c r="A29" s="3" t="s">
        <v>351</v>
      </c>
      <c r="B29" s="2" t="s">
        <v>225</v>
      </c>
      <c r="D29" s="25">
        <f t="shared" ref="D29:AB29" si="4">SUM(D22:D28)</f>
        <v>167000</v>
      </c>
      <c r="E29" s="25">
        <f t="shared" si="4"/>
        <v>170340</v>
      </c>
      <c r="F29" s="25">
        <f t="shared" si="4"/>
        <v>173746.80000000002</v>
      </c>
      <c r="G29" s="25">
        <f t="shared" si="4"/>
        <v>177221.736</v>
      </c>
      <c r="H29" s="25">
        <f t="shared" si="4"/>
        <v>180766.17071999997</v>
      </c>
      <c r="I29" s="25">
        <f t="shared" si="4"/>
        <v>184381.49413439998</v>
      </c>
      <c r="J29" s="25">
        <f t="shared" si="4"/>
        <v>188069.124017088</v>
      </c>
      <c r="K29" s="25">
        <f t="shared" si="4"/>
        <v>191830.50649742974</v>
      </c>
      <c r="L29" s="25">
        <f t="shared" si="4"/>
        <v>195667.11662737833</v>
      </c>
      <c r="M29" s="25">
        <f t="shared" si="4"/>
        <v>199580.45895992592</v>
      </c>
      <c r="N29" s="25">
        <f t="shared" si="4"/>
        <v>203572.0681391244</v>
      </c>
      <c r="O29" s="25">
        <f t="shared" si="4"/>
        <v>207643.50950190693</v>
      </c>
      <c r="P29" s="25">
        <f t="shared" si="4"/>
        <v>211796.37969194504</v>
      </c>
      <c r="Q29" s="25">
        <f t="shared" si="4"/>
        <v>216032.30728578396</v>
      </c>
      <c r="R29" s="25">
        <f t="shared" si="4"/>
        <v>220352.95343149963</v>
      </c>
      <c r="S29" s="25">
        <f t="shared" si="4"/>
        <v>197842.64573364702</v>
      </c>
      <c r="T29" s="25">
        <f t="shared" si="4"/>
        <v>201799.49864831998</v>
      </c>
      <c r="U29" s="25">
        <f t="shared" si="4"/>
        <v>205835.48862128638</v>
      </c>
      <c r="V29" s="25">
        <f t="shared" si="4"/>
        <v>209952.19839371211</v>
      </c>
      <c r="W29" s="25">
        <f t="shared" si="4"/>
        <v>214151.24236158634</v>
      </c>
      <c r="X29" s="25">
        <f t="shared" si="4"/>
        <v>218434.26720881811</v>
      </c>
      <c r="Y29" s="25">
        <f t="shared" si="4"/>
        <v>222802.95255299442</v>
      </c>
      <c r="Z29" s="25">
        <f t="shared" si="4"/>
        <v>227259.01160405431</v>
      </c>
      <c r="AA29" s="25">
        <f t="shared" si="4"/>
        <v>231804.19183613537</v>
      </c>
      <c r="AB29" s="25">
        <f t="shared" si="4"/>
        <v>236440.27567285806</v>
      </c>
    </row>
    <row r="30" spans="1:28" x14ac:dyDescent="0.25">
      <c r="A30" s="3" t="s">
        <v>352</v>
      </c>
      <c r="B30" s="2" t="s">
        <v>225</v>
      </c>
      <c r="D30" s="25">
        <f t="shared" ref="D30:AB30" si="5">D20-D29</f>
        <v>365224</v>
      </c>
      <c r="E30" s="25">
        <f t="shared" si="5"/>
        <v>364310.60879999993</v>
      </c>
      <c r="F30" s="25">
        <f t="shared" si="5"/>
        <v>363347.86197340791</v>
      </c>
      <c r="G30" s="25">
        <f t="shared" si="5"/>
        <v>362334.51556154958</v>
      </c>
      <c r="H30" s="25">
        <f t="shared" si="5"/>
        <v>361269.29948202556</v>
      </c>
      <c r="I30" s="25">
        <f t="shared" si="5"/>
        <v>360150.91699767398</v>
      </c>
      <c r="J30" s="25">
        <f t="shared" si="5"/>
        <v>358978.04417486687</v>
      </c>
      <c r="K30" s="25">
        <f t="shared" si="5"/>
        <v>357749.32933092472</v>
      </c>
      <c r="L30" s="25">
        <f t="shared" si="5"/>
        <v>356463.39247043309</v>
      </c>
      <c r="M30" s="25">
        <f t="shared" si="5"/>
        <v>355118.82471023663</v>
      </c>
      <c r="N30" s="25">
        <f t="shared" si="5"/>
        <v>353714.18769288773</v>
      </c>
      <c r="O30" s="25">
        <f t="shared" si="5"/>
        <v>352248.01298831473</v>
      </c>
      <c r="P30" s="25">
        <f t="shared" si="5"/>
        <v>350718.80148347549</v>
      </c>
      <c r="Q30" s="25">
        <f t="shared" si="5"/>
        <v>349125.02275975468</v>
      </c>
      <c r="R30" s="25">
        <f t="shared" si="5"/>
        <v>347465.11445786152</v>
      </c>
      <c r="S30" s="25">
        <f t="shared" si="5"/>
        <v>372654.84839645866</v>
      </c>
      <c r="T30" s="25">
        <f t="shared" si="5"/>
        <v>371396.21018070111</v>
      </c>
      <c r="U30" s="25">
        <f t="shared" si="5"/>
        <v>370077.32406771963</v>
      </c>
      <c r="V30" s="25">
        <f t="shared" si="5"/>
        <v>368696.70866454305</v>
      </c>
      <c r="W30" s="25">
        <f t="shared" si="5"/>
        <v>367252.85157233616</v>
      </c>
      <c r="X30" s="25">
        <f t="shared" si="5"/>
        <v>11827.855443939945</v>
      </c>
      <c r="Y30" s="25">
        <f t="shared" si="5"/>
        <v>6538.1216091525857</v>
      </c>
      <c r="Z30" s="25">
        <f t="shared" si="5"/>
        <v>1164.6982614441658</v>
      </c>
      <c r="AA30" s="25">
        <f t="shared" si="5"/>
        <v>-4294.1768100989284</v>
      </c>
      <c r="AB30" s="25">
        <f t="shared" si="5"/>
        <v>-9840.3007069257728</v>
      </c>
    </row>
    <row r="31" spans="1:28" x14ac:dyDescent="0.25">
      <c r="A31" s="31" t="s">
        <v>353</v>
      </c>
    </row>
    <row r="32" spans="1:28" x14ac:dyDescent="0.25">
      <c r="A32" s="4" t="s">
        <v>354</v>
      </c>
      <c r="B32" s="2" t="s">
        <v>225</v>
      </c>
      <c r="D32" s="5">
        <f>Inputs!$C$71*Inputs!$C$13/Inputs!$C$42*IF(D$4&lt;=Inputs!$C$42,1,0)*D6</f>
        <v>240000</v>
      </c>
      <c r="E32" s="5">
        <f>Inputs!$C$71*Inputs!$C$13/Inputs!$C$42*IF(E$4&lt;=Inputs!$C$42,1,0)*E6</f>
        <v>240000</v>
      </c>
      <c r="F32" s="5">
        <f>Inputs!$C$71*Inputs!$C$13/Inputs!$C$42*IF(F$4&lt;=Inputs!$C$42,1,0)*F6</f>
        <v>240000</v>
      </c>
      <c r="G32" s="5">
        <f>Inputs!$C$71*Inputs!$C$13/Inputs!$C$42*IF(G$4&lt;=Inputs!$C$42,1,0)*G6</f>
        <v>240000</v>
      </c>
      <c r="H32" s="5">
        <f>Inputs!$C$71*Inputs!$C$13/Inputs!$C$42*IF(H$4&lt;=Inputs!$C$42,1,0)*H6</f>
        <v>240000</v>
      </c>
      <c r="I32" s="5">
        <f>Inputs!$C$71*Inputs!$C$13/Inputs!$C$42*IF(I$4&lt;=Inputs!$C$42,1,0)*I6</f>
        <v>240000</v>
      </c>
      <c r="J32" s="5">
        <f>Inputs!$C$71*Inputs!$C$13/Inputs!$C$42*IF(J$4&lt;=Inputs!$C$42,1,0)*J6</f>
        <v>240000</v>
      </c>
      <c r="K32" s="5">
        <f>Inputs!$C$71*Inputs!$C$13/Inputs!$C$42*IF(K$4&lt;=Inputs!$C$42,1,0)*K6</f>
        <v>240000</v>
      </c>
      <c r="L32" s="5">
        <f>Inputs!$C$71*Inputs!$C$13/Inputs!$C$42*IF(L$4&lt;=Inputs!$C$42,1,0)*L6</f>
        <v>240000</v>
      </c>
      <c r="M32" s="5">
        <f>Inputs!$C$71*Inputs!$C$13/Inputs!$C$42*IF(M$4&lt;=Inputs!$C$42,1,0)*M6</f>
        <v>240000</v>
      </c>
      <c r="N32" s="5">
        <f>Inputs!$C$71*Inputs!$C$13/Inputs!$C$42*IF(N$4&lt;=Inputs!$C$42,1,0)*N6</f>
        <v>240000</v>
      </c>
      <c r="O32" s="5">
        <f>Inputs!$C$71*Inputs!$C$13/Inputs!$C$42*IF(O$4&lt;=Inputs!$C$42,1,0)*O6</f>
        <v>240000</v>
      </c>
      <c r="P32" s="5">
        <f>Inputs!$C$71*Inputs!$C$13/Inputs!$C$42*IF(P$4&lt;=Inputs!$C$42,1,0)*P6</f>
        <v>240000</v>
      </c>
      <c r="Q32" s="5">
        <f>Inputs!$C$71*Inputs!$C$13/Inputs!$C$42*IF(Q$4&lt;=Inputs!$C$42,1,0)*Q6</f>
        <v>240000</v>
      </c>
      <c r="R32" s="5">
        <f>Inputs!$C$71*Inputs!$C$13/Inputs!$C$42*IF(R$4&lt;=Inputs!$C$42,1,0)*R6</f>
        <v>240000</v>
      </c>
      <c r="S32" s="5">
        <f>Inputs!$C$71*Inputs!$C$13/Inputs!$C$42*IF(S$4&lt;=Inputs!$C$42,1,0)*S6</f>
        <v>240000</v>
      </c>
      <c r="T32" s="5">
        <f>Inputs!$C$71*Inputs!$C$13/Inputs!$C$42*IF(T$4&lt;=Inputs!$C$42,1,0)*T6</f>
        <v>240000</v>
      </c>
      <c r="U32" s="5">
        <f>Inputs!$C$71*Inputs!$C$13/Inputs!$C$42*IF(U$4&lt;=Inputs!$C$42,1,0)*U6</f>
        <v>240000</v>
      </c>
      <c r="V32" s="5">
        <f>Inputs!$C$71*Inputs!$C$13/Inputs!$C$42*IF(V$4&lt;=Inputs!$C$42,1,0)*V6</f>
        <v>240000</v>
      </c>
      <c r="W32" s="5">
        <f>Inputs!$C$71*Inputs!$C$13/Inputs!$C$42*IF(W$4&lt;=Inputs!$C$42,1,0)*W6</f>
        <v>240000</v>
      </c>
      <c r="X32" s="5">
        <f>Inputs!$C$71*Inputs!$C$13/Inputs!$C$42*IF(X$4&lt;=Inputs!$C$42,1,0)*X6</f>
        <v>0</v>
      </c>
      <c r="Y32" s="5">
        <f>Inputs!$C$71*Inputs!$C$13/Inputs!$C$42*IF(Y$4&lt;=Inputs!$C$42,1,0)*Y6</f>
        <v>0</v>
      </c>
      <c r="Z32" s="5">
        <f>Inputs!$C$71*Inputs!$C$13/Inputs!$C$42*IF(Z$4&lt;=Inputs!$C$42,1,0)*Z6</f>
        <v>0</v>
      </c>
      <c r="AA32" s="5">
        <f>Inputs!$C$71*Inputs!$C$13/Inputs!$C$42*IF(AA$4&lt;=Inputs!$C$42,1,0)*AA6</f>
        <v>0</v>
      </c>
      <c r="AB32" s="5">
        <f>Inputs!$C$71*Inputs!$C$13/Inputs!$C$42*IF(AB$4&lt;=Inputs!$C$42,1,0)*AB6</f>
        <v>0</v>
      </c>
    </row>
    <row r="33" spans="1:28" x14ac:dyDescent="0.25">
      <c r="A33" s="4" t="s">
        <v>355</v>
      </c>
      <c r="B33" s="2" t="s">
        <v>225</v>
      </c>
      <c r="D33" s="5">
        <f>MAX(0,(D30-D32)*Inputs!$C$41)</f>
        <v>29890.968799999999</v>
      </c>
      <c r="E33" s="5">
        <f>MAX(0,(E30-E32)*Inputs!$C$41)</f>
        <v>29672.942320559981</v>
      </c>
      <c r="F33" s="5">
        <f>MAX(0,(F30-F32)*Inputs!$C$41)</f>
        <v>29443.134653052468</v>
      </c>
      <c r="G33" s="5">
        <f>MAX(0,(G30-G32)*Inputs!$C$41)</f>
        <v>29201.248864541882</v>
      </c>
      <c r="H33" s="5">
        <f>MAX(0,(H30-H32)*Inputs!$C$41)</f>
        <v>28946.981786359498</v>
      </c>
      <c r="I33" s="5">
        <f>MAX(0,(I30-I32)*Inputs!$C$41)</f>
        <v>28680.023887344778</v>
      </c>
      <c r="J33" s="5">
        <f>MAX(0,(J30-J32)*Inputs!$C$41)</f>
        <v>28400.059144540719</v>
      </c>
      <c r="K33" s="5">
        <f>MAX(0,(K30-K32)*Inputs!$C$41)</f>
        <v>28106.764911291732</v>
      </c>
      <c r="L33" s="5">
        <f>MAX(0,(L30-L32)*Inputs!$C$41)</f>
        <v>27799.811782692377</v>
      </c>
      <c r="M33" s="5">
        <f>MAX(0,(M30-M32)*Inputs!$C$41)</f>
        <v>27478.863458333482</v>
      </c>
      <c r="N33" s="5">
        <f>MAX(0,(N30-N32)*Inputs!$C$41)</f>
        <v>27143.576602292302</v>
      </c>
      <c r="O33" s="5">
        <f>MAX(0,(O30-O32)*Inputs!$C$41)</f>
        <v>26793.600700310726</v>
      </c>
      <c r="P33" s="5">
        <f>MAX(0,(P30-P32)*Inputs!$C$41)</f>
        <v>26428.577914105597</v>
      </c>
      <c r="Q33" s="5">
        <f>MAX(0,(Q30-Q32)*Inputs!$C$41)</f>
        <v>26048.142932753442</v>
      </c>
      <c r="R33" s="5">
        <f>MAX(0,(R30-R32)*Inputs!$C$41)</f>
        <v>25651.922821091546</v>
      </c>
      <c r="S33" s="5">
        <f>MAX(0,(S30-S32)*Inputs!$C$41)</f>
        <v>31664.712312234682</v>
      </c>
      <c r="T33" s="5">
        <f>MAX(0,(T30-T32)*Inputs!$C$41)</f>
        <v>31364.275370133353</v>
      </c>
      <c r="U33" s="5">
        <f>MAX(0,(U30-U32)*Inputs!$C$41)</f>
        <v>31049.457254964676</v>
      </c>
      <c r="V33" s="5">
        <f>MAX(0,(V30-V32)*Inputs!$C$41)</f>
        <v>30719.904358226428</v>
      </c>
      <c r="W33" s="5">
        <f>MAX(0,(W30-W32)*Inputs!$C$41)</f>
        <v>30375.255670316641</v>
      </c>
      <c r="X33" s="5">
        <f>MAX(0,(X30-X32)*Inputs!$C$41)</f>
        <v>2823.309094468465</v>
      </c>
      <c r="Y33" s="5">
        <f>MAX(0,(Y30-Y32)*Inputs!$C$41)</f>
        <v>1560.6496281047223</v>
      </c>
      <c r="Z33" s="5">
        <f>MAX(0,(Z30-Z32)*Inputs!$C$41)</f>
        <v>278.01347500672239</v>
      </c>
      <c r="AA33" s="5">
        <f>MAX(0,(AA30-AA32)*Inputs!$C$41)</f>
        <v>0</v>
      </c>
      <c r="AB33" s="5">
        <f>MAX(0,(AB30-AB32)*Inputs!$C$41)</f>
        <v>0</v>
      </c>
    </row>
    <row r="34" spans="1:28" x14ac:dyDescent="0.25">
      <c r="A34" s="4" t="s">
        <v>356</v>
      </c>
      <c r="B34" s="2" t="s">
        <v>225</v>
      </c>
      <c r="D34" s="5">
        <f>Inputs!$C$71*Inputs!$C$13</f>
        <v>4800000</v>
      </c>
      <c r="E34" s="5">
        <f t="shared" ref="E34:AB34" si="6">MAX(0,D34-D32)</f>
        <v>4560000</v>
      </c>
      <c r="F34" s="5">
        <f t="shared" si="6"/>
        <v>4320000</v>
      </c>
      <c r="G34" s="5">
        <f t="shared" si="6"/>
        <v>4080000</v>
      </c>
      <c r="H34" s="5">
        <f t="shared" si="6"/>
        <v>3840000</v>
      </c>
      <c r="I34" s="5">
        <f t="shared" si="6"/>
        <v>3600000</v>
      </c>
      <c r="J34" s="5">
        <f t="shared" si="6"/>
        <v>3360000</v>
      </c>
      <c r="K34" s="5">
        <f t="shared" si="6"/>
        <v>3120000</v>
      </c>
      <c r="L34" s="5">
        <f t="shared" si="6"/>
        <v>2880000</v>
      </c>
      <c r="M34" s="5">
        <f t="shared" si="6"/>
        <v>2640000</v>
      </c>
      <c r="N34" s="5">
        <f t="shared" si="6"/>
        <v>2400000</v>
      </c>
      <c r="O34" s="5">
        <f t="shared" si="6"/>
        <v>2160000</v>
      </c>
      <c r="P34" s="5">
        <f t="shared" si="6"/>
        <v>1920000</v>
      </c>
      <c r="Q34" s="5">
        <f t="shared" si="6"/>
        <v>1680000</v>
      </c>
      <c r="R34" s="5">
        <f t="shared" si="6"/>
        <v>1440000</v>
      </c>
      <c r="S34" s="5">
        <f t="shared" si="6"/>
        <v>1200000</v>
      </c>
      <c r="T34" s="5">
        <f t="shared" si="6"/>
        <v>960000</v>
      </c>
      <c r="U34" s="5">
        <f t="shared" si="6"/>
        <v>720000</v>
      </c>
      <c r="V34" s="5">
        <f t="shared" si="6"/>
        <v>480000</v>
      </c>
      <c r="W34" s="5">
        <f t="shared" si="6"/>
        <v>240000</v>
      </c>
      <c r="X34" s="5">
        <f t="shared" si="6"/>
        <v>0</v>
      </c>
      <c r="Y34" s="5">
        <f t="shared" si="6"/>
        <v>0</v>
      </c>
      <c r="Z34" s="5">
        <f t="shared" si="6"/>
        <v>0</v>
      </c>
      <c r="AA34" s="5">
        <f t="shared" si="6"/>
        <v>0</v>
      </c>
      <c r="AB34" s="5">
        <f t="shared" si="6"/>
        <v>0</v>
      </c>
    </row>
    <row r="35" spans="1:28" x14ac:dyDescent="0.25">
      <c r="A35" s="4" t="s">
        <v>357</v>
      </c>
      <c r="B35" s="2" t="s">
        <v>225</v>
      </c>
      <c r="D35" s="5">
        <f>D6*MAX(IF(D34&gt;Inputs!$C$48,Inputs!$C$46,IF(D34&gt;Inputs!$C$47,Inputs!$C$45,Inputs!$C$44)),Inputs!$C$43*D34)</f>
        <v>24000</v>
      </c>
      <c r="E35" s="5">
        <f>E6*MAX(IF(E34&gt;Inputs!$C$48,Inputs!$C$46,IF(E34&gt;Inputs!$C$47,Inputs!$C$45,Inputs!$C$44)),Inputs!$C$43*E34)</f>
        <v>22800</v>
      </c>
      <c r="F35" s="5">
        <f>F6*MAX(IF(F34&gt;Inputs!$C$48,Inputs!$C$46,IF(F34&gt;Inputs!$C$47,Inputs!$C$45,Inputs!$C$44)),Inputs!$C$43*F34)</f>
        <v>21600</v>
      </c>
      <c r="G35" s="5">
        <f>G6*MAX(IF(G34&gt;Inputs!$C$48,Inputs!$C$46,IF(G34&gt;Inputs!$C$47,Inputs!$C$45,Inputs!$C$44)),Inputs!$C$43*G34)</f>
        <v>20400</v>
      </c>
      <c r="H35" s="5">
        <f>H6*MAX(IF(H34&gt;Inputs!$C$48,Inputs!$C$46,IF(H34&gt;Inputs!$C$47,Inputs!$C$45,Inputs!$C$44)),Inputs!$C$43*H34)</f>
        <v>19200</v>
      </c>
      <c r="I35" s="5">
        <f>I6*MAX(IF(I34&gt;Inputs!$C$48,Inputs!$C$46,IF(I34&gt;Inputs!$C$47,Inputs!$C$45,Inputs!$C$44)),Inputs!$C$43*I34)</f>
        <v>18000</v>
      </c>
      <c r="J35" s="5">
        <f>J6*MAX(IF(J34&gt;Inputs!$C$48,Inputs!$C$46,IF(J34&gt;Inputs!$C$47,Inputs!$C$45,Inputs!$C$44)),Inputs!$C$43*J34)</f>
        <v>16800</v>
      </c>
      <c r="K35" s="5">
        <f>K6*MAX(IF(K34&gt;Inputs!$C$48,Inputs!$C$46,IF(K34&gt;Inputs!$C$47,Inputs!$C$45,Inputs!$C$44)),Inputs!$C$43*K34)</f>
        <v>15600</v>
      </c>
      <c r="L35" s="5">
        <f>L6*MAX(IF(L34&gt;Inputs!$C$48,Inputs!$C$46,IF(L34&gt;Inputs!$C$47,Inputs!$C$45,Inputs!$C$44)),Inputs!$C$43*L34)</f>
        <v>14400</v>
      </c>
      <c r="M35" s="5">
        <f>M6*MAX(IF(M34&gt;Inputs!$C$48,Inputs!$C$46,IF(M34&gt;Inputs!$C$47,Inputs!$C$45,Inputs!$C$44)),Inputs!$C$43*M34)</f>
        <v>13200</v>
      </c>
      <c r="N35" s="5">
        <f>N6*MAX(IF(N34&gt;Inputs!$C$48,Inputs!$C$46,IF(N34&gt;Inputs!$C$47,Inputs!$C$45,Inputs!$C$44)),Inputs!$C$43*N34)</f>
        <v>12000</v>
      </c>
      <c r="O35" s="5">
        <f>O6*MAX(IF(O34&gt;Inputs!$C$48,Inputs!$C$46,IF(O34&gt;Inputs!$C$47,Inputs!$C$45,Inputs!$C$44)),Inputs!$C$43*O34)</f>
        <v>10800</v>
      </c>
      <c r="P35" s="5">
        <f>P6*MAX(IF(P34&gt;Inputs!$C$48,Inputs!$C$46,IF(P34&gt;Inputs!$C$47,Inputs!$C$45,Inputs!$C$44)),Inputs!$C$43*P34)</f>
        <v>9600</v>
      </c>
      <c r="Q35" s="5">
        <f>Q6*MAX(IF(Q34&gt;Inputs!$C$48,Inputs!$C$46,IF(Q34&gt;Inputs!$C$47,Inputs!$C$45,Inputs!$C$44)),Inputs!$C$43*Q34)</f>
        <v>8400</v>
      </c>
      <c r="R35" s="5">
        <f>R6*MAX(IF(R34&gt;Inputs!$C$48,Inputs!$C$46,IF(R34&gt;Inputs!$C$47,Inputs!$C$45,Inputs!$C$44)),Inputs!$C$43*R34)</f>
        <v>7200</v>
      </c>
      <c r="S35" s="5">
        <f>S6*MAX(IF(S34&gt;Inputs!$C$48,Inputs!$C$46,IF(S34&gt;Inputs!$C$47,Inputs!$C$45,Inputs!$C$44)),Inputs!$C$43*S34)</f>
        <v>6000</v>
      </c>
      <c r="T35" s="5">
        <f>T6*MAX(IF(T34&gt;Inputs!$C$48,Inputs!$C$46,IF(T34&gt;Inputs!$C$47,Inputs!$C$45,Inputs!$C$44)),Inputs!$C$43*T34)</f>
        <v>4800</v>
      </c>
      <c r="U35" s="5">
        <f>U6*MAX(IF(U34&gt;Inputs!$C$48,Inputs!$C$46,IF(U34&gt;Inputs!$C$47,Inputs!$C$45,Inputs!$C$44)),Inputs!$C$43*U34)</f>
        <v>3600</v>
      </c>
      <c r="V35" s="5">
        <f>V6*MAX(IF(V34&gt;Inputs!$C$48,Inputs!$C$46,IF(V34&gt;Inputs!$C$47,Inputs!$C$45,Inputs!$C$44)),Inputs!$C$43*V34)</f>
        <v>2400</v>
      </c>
      <c r="W35" s="5">
        <f>W6*MAX(IF(W34&gt;Inputs!$C$48,Inputs!$C$46,IF(W34&gt;Inputs!$C$47,Inputs!$C$45,Inputs!$C$44)),Inputs!$C$43*W34)</f>
        <v>1200</v>
      </c>
      <c r="X35" s="5">
        <f>X6*MAX(IF(X34&gt;Inputs!$C$48,Inputs!$C$46,IF(X34&gt;Inputs!$C$47,Inputs!$C$45,Inputs!$C$44)),Inputs!$C$43*X34)</f>
        <v>535</v>
      </c>
      <c r="Y35" s="5">
        <f>Y6*MAX(IF(Y34&gt;Inputs!$C$48,Inputs!$C$46,IF(Y34&gt;Inputs!$C$47,Inputs!$C$45,Inputs!$C$44)),Inputs!$C$43*Y34)</f>
        <v>535</v>
      </c>
      <c r="Z35" s="5">
        <f>Z6*MAX(IF(Z34&gt;Inputs!$C$48,Inputs!$C$46,IF(Z34&gt;Inputs!$C$47,Inputs!$C$45,Inputs!$C$44)),Inputs!$C$43*Z34)</f>
        <v>535</v>
      </c>
      <c r="AA35" s="5">
        <f>AA6*MAX(IF(AA34&gt;Inputs!$C$48,Inputs!$C$46,IF(AA34&gt;Inputs!$C$47,Inputs!$C$45,Inputs!$C$44)),Inputs!$C$43*AA34)</f>
        <v>535</v>
      </c>
      <c r="AB35" s="5">
        <f>AB6*MAX(IF(AB34&gt;Inputs!$C$48,Inputs!$C$46,IF(AB34&gt;Inputs!$C$47,Inputs!$C$45,Inputs!$C$44)),Inputs!$C$43*AB34)</f>
        <v>535</v>
      </c>
    </row>
    <row r="36" spans="1:28" x14ac:dyDescent="0.25">
      <c r="A36" s="3" t="s">
        <v>358</v>
      </c>
      <c r="B36" s="2" t="s">
        <v>225</v>
      </c>
      <c r="D36" s="25">
        <f t="shared" ref="D36:AB36" si="7">D30-D33-D35</f>
        <v>311333.03120000003</v>
      </c>
      <c r="E36" s="25">
        <f t="shared" si="7"/>
        <v>311837.66647943994</v>
      </c>
      <c r="F36" s="25">
        <f t="shared" si="7"/>
        <v>312304.72732035542</v>
      </c>
      <c r="G36" s="25">
        <f t="shared" si="7"/>
        <v>312733.2666970077</v>
      </c>
      <c r="H36" s="25">
        <f t="shared" si="7"/>
        <v>313122.31769566605</v>
      </c>
      <c r="I36" s="25">
        <f t="shared" si="7"/>
        <v>313470.89311032923</v>
      </c>
      <c r="J36" s="25">
        <f t="shared" si="7"/>
        <v>313777.98503032618</v>
      </c>
      <c r="K36" s="25">
        <f t="shared" si="7"/>
        <v>314042.56441963301</v>
      </c>
      <c r="L36" s="25">
        <f t="shared" si="7"/>
        <v>314263.5806877407</v>
      </c>
      <c r="M36" s="25">
        <f t="shared" si="7"/>
        <v>314439.96125190315</v>
      </c>
      <c r="N36" s="25">
        <f t="shared" si="7"/>
        <v>314570.61109059543</v>
      </c>
      <c r="O36" s="25">
        <f t="shared" si="7"/>
        <v>314654.41228800401</v>
      </c>
      <c r="P36" s="25">
        <f t="shared" si="7"/>
        <v>314690.22356936987</v>
      </c>
      <c r="Q36" s="25">
        <f t="shared" si="7"/>
        <v>314676.87982700125</v>
      </c>
      <c r="R36" s="25">
        <f t="shared" si="7"/>
        <v>314613.19163676997</v>
      </c>
      <c r="S36" s="25">
        <f t="shared" si="7"/>
        <v>334990.13608422398</v>
      </c>
      <c r="T36" s="25">
        <f t="shared" si="7"/>
        <v>335231.93481056776</v>
      </c>
      <c r="U36" s="25">
        <f t="shared" si="7"/>
        <v>335427.86681275495</v>
      </c>
      <c r="V36" s="25">
        <f t="shared" si="7"/>
        <v>335576.80430631666</v>
      </c>
      <c r="W36" s="25">
        <f t="shared" si="7"/>
        <v>335677.59590201953</v>
      </c>
      <c r="X36" s="25">
        <f t="shared" si="7"/>
        <v>8469.5463494714804</v>
      </c>
      <c r="Y36" s="25">
        <f t="shared" si="7"/>
        <v>4442.4719810478637</v>
      </c>
      <c r="Z36" s="25">
        <f t="shared" si="7"/>
        <v>351.68478643744345</v>
      </c>
      <c r="AA36" s="25">
        <f t="shared" si="7"/>
        <v>-4829.1768100989284</v>
      </c>
      <c r="AB36" s="25">
        <f t="shared" si="7"/>
        <v>-10375.300706925773</v>
      </c>
    </row>
    <row r="37" spans="1:28" x14ac:dyDescent="0.25">
      <c r="A37" s="4" t="s">
        <v>359</v>
      </c>
      <c r="B37" s="2" t="s">
        <v>225</v>
      </c>
      <c r="D37" s="27">
        <f>Debt!D14</f>
        <v>130000</v>
      </c>
      <c r="E37" s="27">
        <f>Debt!E14</f>
        <v>124624.13821454189</v>
      </c>
      <c r="F37" s="27">
        <f>Debt!F14</f>
        <v>118898.84541302899</v>
      </c>
      <c r="G37" s="27">
        <f>Debt!G14</f>
        <v>112801.40857941777</v>
      </c>
      <c r="H37" s="27">
        <f>Debt!H14</f>
        <v>106307.6383516218</v>
      </c>
      <c r="I37" s="27">
        <f>Debt!I14</f>
        <v>99391.773059019106</v>
      </c>
      <c r="J37" s="27">
        <f>Debt!J14</f>
        <v>92026.376522397215</v>
      </c>
      <c r="K37" s="27">
        <f>Debt!K14</f>
        <v>84182.229210894919</v>
      </c>
      <c r="L37" s="27">
        <f>Debt!L14</f>
        <v>75828.212324144959</v>
      </c>
      <c r="M37" s="27">
        <f>Debt!M14</f>
        <v>66931.184339756262</v>
      </c>
      <c r="N37" s="27">
        <f>Debt!N14</f>
        <v>57455.849536382295</v>
      </c>
      <c r="O37" s="27">
        <f>Debt!O14</f>
        <v>47364.617970789019</v>
      </c>
      <c r="P37" s="27">
        <f>Debt!P14</f>
        <v>36617.456353432179</v>
      </c>
      <c r="Q37" s="27">
        <f>Debt!Q14</f>
        <v>25171.729230947145</v>
      </c>
      <c r="R37" s="27">
        <f>Debt!R14</f>
        <v>12982.029845500587</v>
      </c>
      <c r="S37" s="27">
        <f>Debt!S14</f>
        <v>0</v>
      </c>
      <c r="T37" s="27">
        <f>Debt!T14</f>
        <v>0</v>
      </c>
      <c r="U37" s="27">
        <f>Debt!U14</f>
        <v>0</v>
      </c>
      <c r="V37" s="27">
        <f>Debt!V14</f>
        <v>0</v>
      </c>
      <c r="W37" s="27">
        <f>Debt!W14</f>
        <v>0</v>
      </c>
      <c r="X37" s="27">
        <f>Debt!X14</f>
        <v>0</v>
      </c>
      <c r="Y37" s="27">
        <f>Debt!Y14</f>
        <v>0</v>
      </c>
      <c r="Z37" s="27">
        <f>Debt!Z14</f>
        <v>0</v>
      </c>
      <c r="AA37" s="27">
        <f>Debt!AA14</f>
        <v>0</v>
      </c>
      <c r="AB37" s="27">
        <f>Debt!AB14</f>
        <v>0</v>
      </c>
    </row>
    <row r="38" spans="1:28" x14ac:dyDescent="0.25">
      <c r="A38" s="4" t="s">
        <v>360</v>
      </c>
      <c r="B38" s="2" t="s">
        <v>225</v>
      </c>
      <c r="D38" s="5">
        <f>MAX(0,(D30-D32-D37)*Inputs!$C$41)</f>
        <v>0</v>
      </c>
      <c r="E38" s="5">
        <f>MAX(0,(E30-E32-E37)*Inputs!$C$41)</f>
        <v>0</v>
      </c>
      <c r="F38" s="5">
        <f>MAX(0,(F30-F32-F37)*Inputs!$C$41)</f>
        <v>1061.9802529624485</v>
      </c>
      <c r="G38" s="5">
        <f>MAX(0,(G30-G32-G37)*Inputs!$C$41)</f>
        <v>2275.5526366348627</v>
      </c>
      <c r="H38" s="5">
        <f>MAX(0,(H30-H32-H37)*Inputs!$C$41)</f>
        <v>3571.3485118273752</v>
      </c>
      <c r="I38" s="5">
        <f>MAX(0,(I30-I32-I37)*Inputs!$C$41)</f>
        <v>4955.2076581569181</v>
      </c>
      <c r="J38" s="5">
        <f>MAX(0,(J30-J32-J37)*Inputs!$C$41)</f>
        <v>6433.3630686445058</v>
      </c>
      <c r="K38" s="5">
        <f>MAX(0,(K30-K32-K37)*Inputs!$C$41)</f>
        <v>8012.466798651114</v>
      </c>
      <c r="L38" s="5">
        <f>MAX(0,(L30-L32-L37)*Inputs!$C$41)</f>
        <v>9699.6175009189756</v>
      </c>
      <c r="M38" s="5">
        <f>MAX(0,(M30-M32-M37)*Inputs!$C$41)</f>
        <v>11502.389756433664</v>
      </c>
      <c r="N38" s="5">
        <f>MAX(0,(N30-N32-N37)*Inputs!$C$41)</f>
        <v>13428.865317957847</v>
      </c>
      <c r="O38" s="5">
        <f>MAX(0,(O30-O32-O37)*Inputs!$C$41)</f>
        <v>15487.666390683387</v>
      </c>
      <c r="P38" s="5">
        <f>MAX(0,(P30-P32-P37)*Inputs!$C$41)</f>
        <v>17687.991082541339</v>
      </c>
      <c r="Q38" s="5">
        <f>MAX(0,(Q30-Q32-Q37)*Inputs!$C$41)</f>
        <v>20039.651165326355</v>
      </c>
      <c r="R38" s="5">
        <f>MAX(0,(R30-R32-R37)*Inputs!$C$41)</f>
        <v>22553.112296970554</v>
      </c>
      <c r="S38" s="5">
        <f>MAX(0,(S30-S32-S37)*Inputs!$C$41)</f>
        <v>31664.712312234682</v>
      </c>
      <c r="T38" s="5">
        <f>MAX(0,(T30-T32-T37)*Inputs!$C$41)</f>
        <v>31364.275370133353</v>
      </c>
      <c r="U38" s="5">
        <f>MAX(0,(U30-U32-U37)*Inputs!$C$41)</f>
        <v>31049.457254964676</v>
      </c>
      <c r="V38" s="5">
        <f>MAX(0,(V30-V32-V37)*Inputs!$C$41)</f>
        <v>30719.904358226428</v>
      </c>
      <c r="W38" s="5">
        <f>MAX(0,(W30-W32-W37)*Inputs!$C$41)</f>
        <v>30375.255670316641</v>
      </c>
      <c r="X38" s="5">
        <f>MAX(0,(X30-X32-X37)*Inputs!$C$41)</f>
        <v>2823.309094468465</v>
      </c>
      <c r="Y38" s="5">
        <f>MAX(0,(Y30-Y32-Y37)*Inputs!$C$41)</f>
        <v>1560.6496281047223</v>
      </c>
      <c r="Z38" s="5">
        <f>MAX(0,(Z30-Z32-Z37)*Inputs!$C$41)</f>
        <v>278.01347500672239</v>
      </c>
      <c r="AA38" s="5">
        <f>MAX(0,(AA30-AA32-AA37)*Inputs!$C$41)</f>
        <v>0</v>
      </c>
      <c r="AB38" s="5">
        <f>MAX(0,(AB30-AB32-AB37)*Inputs!$C$41)</f>
        <v>0</v>
      </c>
    </row>
    <row r="39" spans="1:28" x14ac:dyDescent="0.25">
      <c r="A39" s="4" t="s">
        <v>361</v>
      </c>
      <c r="B39" s="2" t="s">
        <v>225</v>
      </c>
      <c r="D39" s="5">
        <f>D34+'Sources &amp; Uses'!$C$7</f>
        <v>4906352.7829650622</v>
      </c>
      <c r="E39" s="5">
        <f t="shared" ref="E39:AB39" si="8">E34+D58+D61</f>
        <v>4666352.7829650622</v>
      </c>
      <c r="F39" s="5">
        <f t="shared" si="8"/>
        <v>4426352.7829650622</v>
      </c>
      <c r="G39" s="5">
        <f t="shared" si="8"/>
        <v>4186352.7829650627</v>
      </c>
      <c r="H39" s="5">
        <f t="shared" si="8"/>
        <v>3946352.7829650627</v>
      </c>
      <c r="I39" s="5">
        <f t="shared" si="8"/>
        <v>3706352.7829650627</v>
      </c>
      <c r="J39" s="5">
        <f t="shared" si="8"/>
        <v>3466352.7829650627</v>
      </c>
      <c r="K39" s="5">
        <f t="shared" si="8"/>
        <v>3226352.7829650627</v>
      </c>
      <c r="L39" s="5">
        <f t="shared" si="8"/>
        <v>2986352.7829650627</v>
      </c>
      <c r="M39" s="5">
        <f t="shared" si="8"/>
        <v>2746352.7829650627</v>
      </c>
      <c r="N39" s="5">
        <f t="shared" si="8"/>
        <v>2506352.7829650627</v>
      </c>
      <c r="O39" s="5">
        <f t="shared" si="8"/>
        <v>2266352.7829650627</v>
      </c>
      <c r="P39" s="5">
        <f t="shared" si="8"/>
        <v>2026352.7829650624</v>
      </c>
      <c r="Q39" s="5">
        <f t="shared" si="8"/>
        <v>1786352.7829650624</v>
      </c>
      <c r="R39" s="5">
        <f t="shared" si="8"/>
        <v>1546352.7829650624</v>
      </c>
      <c r="S39" s="5">
        <f t="shared" si="8"/>
        <v>1200000</v>
      </c>
      <c r="T39" s="5">
        <f t="shared" si="8"/>
        <v>960000</v>
      </c>
      <c r="U39" s="5">
        <f t="shared" si="8"/>
        <v>720000</v>
      </c>
      <c r="V39" s="5">
        <f t="shared" si="8"/>
        <v>480000</v>
      </c>
      <c r="W39" s="5">
        <f t="shared" si="8"/>
        <v>240000</v>
      </c>
      <c r="X39" s="5">
        <f t="shared" si="8"/>
        <v>0</v>
      </c>
      <c r="Y39" s="5">
        <f t="shared" si="8"/>
        <v>0</v>
      </c>
      <c r="Z39" s="5">
        <f t="shared" si="8"/>
        <v>0</v>
      </c>
      <c r="AA39" s="5">
        <f t="shared" si="8"/>
        <v>0</v>
      </c>
      <c r="AB39" s="5">
        <f t="shared" si="8"/>
        <v>0</v>
      </c>
    </row>
    <row r="40" spans="1:28" x14ac:dyDescent="0.25">
      <c r="A40" s="4" t="s">
        <v>362</v>
      </c>
      <c r="B40" s="2" t="s">
        <v>225</v>
      </c>
      <c r="D40" s="5">
        <f>MAX(0,D39-Debt!D12)</f>
        <v>2906352.7829650622</v>
      </c>
      <c r="E40" s="5">
        <f>MAX(0,E39-Debt!E12-D53)</f>
        <v>2749058.348895187</v>
      </c>
      <c r="F40" s="5">
        <f>MAX(0,F39-Debt!F12-E53)</f>
        <v>2597139.7766107703</v>
      </c>
      <c r="G40" s="5">
        <f>MAX(0,G39-Debt!G12-F53)</f>
        <v>2450946.4971278664</v>
      </c>
      <c r="H40" s="5">
        <f>MAX(0,H39-Debt!H12-G53)</f>
        <v>2310850.6544785732</v>
      </c>
      <c r="I40" s="5">
        <f>MAX(0,I39-Debt!I12-H53)</f>
        <v>2177248.5820570765</v>
      </c>
      <c r="J40" s="5">
        <f>MAX(0,J39-Debt!J12-I53)</f>
        <v>2050562.3749281825</v>
      </c>
      <c r="K40" s="5">
        <f>MAX(0,K39-Debt!K12-J53)</f>
        <v>1931241.5643359101</v>
      </c>
      <c r="L40" s="5">
        <f>MAX(0,L39-Debt!L12-K53)</f>
        <v>1819764.9010551402</v>
      </c>
      <c r="M40" s="5">
        <f>MAX(0,M39-Debt!M12-L53)</f>
        <v>1716642.2546611202</v>
      </c>
      <c r="N40" s="5">
        <f>MAX(0,N39-Debt!N12-M53)</f>
        <v>1622416.6362514889</v>
      </c>
      <c r="O40" s="5">
        <f>MAX(0,O39-Debt!O12-N53)</f>
        <v>1537666.3526452316</v>
      </c>
      <c r="P40" s="5">
        <f>MAX(0,P39-Debt!P12-O53)</f>
        <v>1463007.3006045674</v>
      </c>
      <c r="Q40" s="5">
        <f>MAX(0,Q39-Debt!Q12-P53)</f>
        <v>1399095.4101812602</v>
      </c>
      <c r="R40" s="5">
        <f>MAX(0,R39-Debt!R12-Q53)</f>
        <v>1346629.2468804379</v>
      </c>
      <c r="S40" s="5">
        <f>MAX(0,S39-Debt!S12-R53)</f>
        <v>1200000</v>
      </c>
      <c r="T40" s="5">
        <f>MAX(0,T39-Debt!T12-S53)</f>
        <v>960000</v>
      </c>
      <c r="U40" s="5">
        <f>MAX(0,U39-Debt!U12-T53)</f>
        <v>720000</v>
      </c>
      <c r="V40" s="5">
        <f>MAX(0,V39-Debt!V12-U53)</f>
        <v>480000</v>
      </c>
      <c r="W40" s="5">
        <f>MAX(0,W39-Debt!W12-V53)</f>
        <v>240000</v>
      </c>
      <c r="X40" s="5">
        <f>MAX(0,X39-Debt!X12-W53)</f>
        <v>0</v>
      </c>
      <c r="Y40" s="5">
        <f>MAX(0,Y39-Debt!Y12-X53)</f>
        <v>0</v>
      </c>
      <c r="Z40" s="5">
        <f>MAX(0,Z39-Debt!Z12-Y53)</f>
        <v>0</v>
      </c>
      <c r="AA40" s="5">
        <f>MAX(0,AA39-Debt!AA12-Z53)</f>
        <v>0</v>
      </c>
      <c r="AB40" s="5">
        <f>MAX(0,AB39-Debt!AB12-AA53)</f>
        <v>0</v>
      </c>
    </row>
    <row r="41" spans="1:28" x14ac:dyDescent="0.25">
      <c r="A41" s="4" t="s">
        <v>363</v>
      </c>
      <c r="B41" s="2" t="s">
        <v>225</v>
      </c>
      <c r="D41" s="5">
        <f>D6*MAX(IF(D39&gt;Inputs!$C$48,Inputs!$C$46,IF(D39&gt;Inputs!$C$47,Inputs!$C$45,Inputs!$C$44)),Inputs!$C$43*D40)</f>
        <v>14531.763914825311</v>
      </c>
      <c r="E41" s="5">
        <f>E6*MAX(IF(E39&gt;Inputs!$C$48,Inputs!$C$46,IF(E39&gt;Inputs!$C$47,Inputs!$C$45,Inputs!$C$44)),Inputs!$C$43*E40)</f>
        <v>13745.291744475935</v>
      </c>
      <c r="F41" s="5">
        <f>F6*MAX(IF(F39&gt;Inputs!$C$48,Inputs!$C$46,IF(F39&gt;Inputs!$C$47,Inputs!$C$45,Inputs!$C$44)),Inputs!$C$43*F40)</f>
        <v>12985.698883053852</v>
      </c>
      <c r="G41" s="5">
        <f>G6*MAX(IF(G39&gt;Inputs!$C$48,Inputs!$C$46,IF(G39&gt;Inputs!$C$47,Inputs!$C$45,Inputs!$C$44)),Inputs!$C$43*G40)</f>
        <v>12254.732485639332</v>
      </c>
      <c r="H41" s="5">
        <f>H6*MAX(IF(H39&gt;Inputs!$C$48,Inputs!$C$46,IF(H39&gt;Inputs!$C$47,Inputs!$C$45,Inputs!$C$44)),Inputs!$C$43*H40)</f>
        <v>11554.253272392867</v>
      </c>
      <c r="I41" s="5">
        <f>I6*MAX(IF(I39&gt;Inputs!$C$48,Inputs!$C$46,IF(I39&gt;Inputs!$C$47,Inputs!$C$45,Inputs!$C$44)),Inputs!$C$43*I40)</f>
        <v>10886.242910285382</v>
      </c>
      <c r="J41" s="5">
        <f>J6*MAX(IF(J39&gt;Inputs!$C$48,Inputs!$C$46,IF(J39&gt;Inputs!$C$47,Inputs!$C$45,Inputs!$C$44)),Inputs!$C$43*J40)</f>
        <v>10252.811874640913</v>
      </c>
      <c r="K41" s="5">
        <f>K6*MAX(IF(K39&gt;Inputs!$C$48,Inputs!$C$46,IF(K39&gt;Inputs!$C$47,Inputs!$C$45,Inputs!$C$44)),Inputs!$C$43*K40)</f>
        <v>9656.2078216795508</v>
      </c>
      <c r="L41" s="5">
        <f>L6*MAX(IF(L39&gt;Inputs!$C$48,Inputs!$C$46,IF(L39&gt;Inputs!$C$47,Inputs!$C$45,Inputs!$C$44)),Inputs!$C$43*L40)</f>
        <v>9098.8245052757011</v>
      </c>
      <c r="M41" s="5">
        <f>M6*MAX(IF(M39&gt;Inputs!$C$48,Inputs!$C$46,IF(M39&gt;Inputs!$C$47,Inputs!$C$45,Inputs!$C$44)),Inputs!$C$43*M40)</f>
        <v>8583.2112733056019</v>
      </c>
      <c r="N41" s="5">
        <f>N6*MAX(IF(N39&gt;Inputs!$C$48,Inputs!$C$46,IF(N39&gt;Inputs!$C$47,Inputs!$C$45,Inputs!$C$44)),Inputs!$C$43*N40)</f>
        <v>8112.0831812574452</v>
      </c>
      <c r="O41" s="5">
        <f>O6*MAX(IF(O39&gt;Inputs!$C$48,Inputs!$C$46,IF(O39&gt;Inputs!$C$47,Inputs!$C$45,Inputs!$C$44)),Inputs!$C$43*O40)</f>
        <v>7688.3317632261587</v>
      </c>
      <c r="P41" s="5">
        <f>P6*MAX(IF(P39&gt;Inputs!$C$48,Inputs!$C$46,IF(P39&gt;Inputs!$C$47,Inputs!$C$45,Inputs!$C$44)),Inputs!$C$43*P40)</f>
        <v>7315.0365030228368</v>
      </c>
      <c r="Q41" s="5">
        <f>Q6*MAX(IF(Q39&gt;Inputs!$C$48,Inputs!$C$46,IF(Q39&gt;Inputs!$C$47,Inputs!$C$45,Inputs!$C$44)),Inputs!$C$43*Q40)</f>
        <v>6995.477050906301</v>
      </c>
      <c r="R41" s="5">
        <f>R6*MAX(IF(R39&gt;Inputs!$C$48,Inputs!$C$46,IF(R39&gt;Inputs!$C$47,Inputs!$C$45,Inputs!$C$44)),Inputs!$C$43*R40)</f>
        <v>6733.1462344021902</v>
      </c>
      <c r="S41" s="5">
        <f>S6*MAX(IF(S39&gt;Inputs!$C$48,Inputs!$C$46,IF(S39&gt;Inputs!$C$47,Inputs!$C$45,Inputs!$C$44)),Inputs!$C$43*S40)</f>
        <v>6000</v>
      </c>
      <c r="T41" s="5">
        <f>T6*MAX(IF(T39&gt;Inputs!$C$48,Inputs!$C$46,IF(T39&gt;Inputs!$C$47,Inputs!$C$45,Inputs!$C$44)),Inputs!$C$43*T40)</f>
        <v>4800</v>
      </c>
      <c r="U41" s="5">
        <f>U6*MAX(IF(U39&gt;Inputs!$C$48,Inputs!$C$46,IF(U39&gt;Inputs!$C$47,Inputs!$C$45,Inputs!$C$44)),Inputs!$C$43*U40)</f>
        <v>3600</v>
      </c>
      <c r="V41" s="5">
        <f>V6*MAX(IF(V39&gt;Inputs!$C$48,Inputs!$C$46,IF(V39&gt;Inputs!$C$47,Inputs!$C$45,Inputs!$C$44)),Inputs!$C$43*V40)</f>
        <v>2400</v>
      </c>
      <c r="W41" s="5">
        <f>W6*MAX(IF(W39&gt;Inputs!$C$48,Inputs!$C$46,IF(W39&gt;Inputs!$C$47,Inputs!$C$45,Inputs!$C$44)),Inputs!$C$43*W40)</f>
        <v>1200</v>
      </c>
      <c r="X41" s="5">
        <f>X6*MAX(IF(X39&gt;Inputs!$C$48,Inputs!$C$46,IF(X39&gt;Inputs!$C$47,Inputs!$C$45,Inputs!$C$44)),Inputs!$C$43*X40)</f>
        <v>535</v>
      </c>
      <c r="Y41" s="5">
        <f>Y6*MAX(IF(Y39&gt;Inputs!$C$48,Inputs!$C$46,IF(Y39&gt;Inputs!$C$47,Inputs!$C$45,Inputs!$C$44)),Inputs!$C$43*Y40)</f>
        <v>535</v>
      </c>
      <c r="Z41" s="5">
        <f>Z6*MAX(IF(Z39&gt;Inputs!$C$48,Inputs!$C$46,IF(Z39&gt;Inputs!$C$47,Inputs!$C$45,Inputs!$C$44)),Inputs!$C$43*Z40)</f>
        <v>535</v>
      </c>
      <c r="AA41" s="5">
        <f>AA6*MAX(IF(AA39&gt;Inputs!$C$48,Inputs!$C$46,IF(AA39&gt;Inputs!$C$47,Inputs!$C$45,Inputs!$C$44)),Inputs!$C$43*AA40)</f>
        <v>535</v>
      </c>
      <c r="AB41" s="5">
        <f>AB6*MAX(IF(AB39&gt;Inputs!$C$48,Inputs!$C$46,IF(AB39&gt;Inputs!$C$47,Inputs!$C$45,Inputs!$C$44)),Inputs!$C$43*AB40)</f>
        <v>535</v>
      </c>
    </row>
    <row r="42" spans="1:28" x14ac:dyDescent="0.25">
      <c r="A42" s="3" t="s">
        <v>364</v>
      </c>
      <c r="B42" s="2" t="s">
        <v>225</v>
      </c>
      <c r="D42" s="25">
        <f t="shared" ref="D42:AB42" si="9">D30-D38-D41</f>
        <v>350692.23608517466</v>
      </c>
      <c r="E42" s="25">
        <f t="shared" si="9"/>
        <v>350565.31705552398</v>
      </c>
      <c r="F42" s="25">
        <f t="shared" si="9"/>
        <v>349300.18283739162</v>
      </c>
      <c r="G42" s="25">
        <f t="shared" si="9"/>
        <v>347804.23043927539</v>
      </c>
      <c r="H42" s="25">
        <f t="shared" si="9"/>
        <v>346143.69769780536</v>
      </c>
      <c r="I42" s="25">
        <f t="shared" si="9"/>
        <v>344309.46642923169</v>
      </c>
      <c r="J42" s="25">
        <f t="shared" si="9"/>
        <v>342291.86923158146</v>
      </c>
      <c r="K42" s="25">
        <f t="shared" si="9"/>
        <v>340080.6547105941</v>
      </c>
      <c r="L42" s="25">
        <f t="shared" si="9"/>
        <v>337664.95046423841</v>
      </c>
      <c r="M42" s="25">
        <f t="shared" si="9"/>
        <v>335033.22368049738</v>
      </c>
      <c r="N42" s="25">
        <f t="shared" si="9"/>
        <v>332173.23919367249</v>
      </c>
      <c r="O42" s="25">
        <f t="shared" si="9"/>
        <v>329072.01483440521</v>
      </c>
      <c r="P42" s="25">
        <f t="shared" si="9"/>
        <v>325715.77389791131</v>
      </c>
      <c r="Q42" s="25">
        <f t="shared" si="9"/>
        <v>322089.89454352204</v>
      </c>
      <c r="R42" s="25">
        <f t="shared" si="9"/>
        <v>318178.85592648876</v>
      </c>
      <c r="S42" s="25">
        <f t="shared" si="9"/>
        <v>334990.13608422398</v>
      </c>
      <c r="T42" s="25">
        <f t="shared" si="9"/>
        <v>335231.93481056776</v>
      </c>
      <c r="U42" s="25">
        <f t="shared" si="9"/>
        <v>335427.86681275495</v>
      </c>
      <c r="V42" s="25">
        <f t="shared" si="9"/>
        <v>335576.80430631666</v>
      </c>
      <c r="W42" s="25">
        <f t="shared" si="9"/>
        <v>335677.59590201953</v>
      </c>
      <c r="X42" s="25">
        <f t="shared" si="9"/>
        <v>8469.5463494714804</v>
      </c>
      <c r="Y42" s="25">
        <f t="shared" si="9"/>
        <v>4442.4719810478637</v>
      </c>
      <c r="Z42" s="25">
        <f t="shared" si="9"/>
        <v>351.68478643744345</v>
      </c>
      <c r="AA42" s="25">
        <f t="shared" si="9"/>
        <v>-4829.1768100989284</v>
      </c>
      <c r="AB42" s="25">
        <f t="shared" si="9"/>
        <v>-10375.300706925773</v>
      </c>
    </row>
    <row r="43" spans="1:28" x14ac:dyDescent="0.25">
      <c r="A43" s="31" t="s">
        <v>365</v>
      </c>
    </row>
    <row r="44" spans="1:28" x14ac:dyDescent="0.25">
      <c r="A44" s="4" t="s">
        <v>366</v>
      </c>
      <c r="B44" s="2" t="s">
        <v>225</v>
      </c>
      <c r="D44" s="27">
        <f>Debt!D17</f>
        <v>212705.56593012495</v>
      </c>
      <c r="E44" s="27">
        <f>Debt!E17</f>
        <v>212705.56593012495</v>
      </c>
      <c r="F44" s="27">
        <f>Debt!F17</f>
        <v>212705.56593012495</v>
      </c>
      <c r="G44" s="27">
        <f>Debt!G17</f>
        <v>212705.56593012495</v>
      </c>
      <c r="H44" s="27">
        <f>Debt!H17</f>
        <v>212705.56593012495</v>
      </c>
      <c r="I44" s="27">
        <f>Debt!I17</f>
        <v>212705.56593012495</v>
      </c>
      <c r="J44" s="27">
        <f>Debt!J17</f>
        <v>212705.56593012495</v>
      </c>
      <c r="K44" s="27">
        <f>Debt!K17</f>
        <v>212705.56593012495</v>
      </c>
      <c r="L44" s="27">
        <f>Debt!L17</f>
        <v>212705.56593012495</v>
      </c>
      <c r="M44" s="27">
        <f>Debt!M17</f>
        <v>212705.56593012495</v>
      </c>
      <c r="N44" s="27">
        <f>Debt!N17</f>
        <v>212705.56593012495</v>
      </c>
      <c r="O44" s="27">
        <f>Debt!O17</f>
        <v>212705.56593012495</v>
      </c>
      <c r="P44" s="27">
        <f>Debt!P17</f>
        <v>212705.56593012495</v>
      </c>
      <c r="Q44" s="27">
        <f>Debt!Q17</f>
        <v>212705.56593012495</v>
      </c>
      <c r="R44" s="27">
        <f>Debt!R17</f>
        <v>212705.56593012495</v>
      </c>
      <c r="S44" s="27">
        <f>Debt!S17</f>
        <v>0</v>
      </c>
      <c r="T44" s="27">
        <f>Debt!T17</f>
        <v>0</v>
      </c>
      <c r="U44" s="27">
        <f>Debt!U17</f>
        <v>0</v>
      </c>
      <c r="V44" s="27">
        <f>Debt!V17</f>
        <v>0</v>
      </c>
      <c r="W44" s="27">
        <f>Debt!W17</f>
        <v>0</v>
      </c>
      <c r="X44" s="27">
        <f>Debt!X17</f>
        <v>0</v>
      </c>
      <c r="Y44" s="27">
        <f>Debt!Y17</f>
        <v>0</v>
      </c>
      <c r="Z44" s="27">
        <f>Debt!Z17</f>
        <v>0</v>
      </c>
      <c r="AA44" s="27">
        <f>Debt!AA17</f>
        <v>0</v>
      </c>
      <c r="AB44" s="27">
        <f>Debt!AB17</f>
        <v>0</v>
      </c>
    </row>
    <row r="45" spans="1:28" x14ac:dyDescent="0.25">
      <c r="A45" s="3" t="s">
        <v>367</v>
      </c>
      <c r="B45" s="2" t="s">
        <v>237</v>
      </c>
      <c r="D45" s="34">
        <f t="shared" ref="D45:AB45" si="10">IF(D44&gt;1,D42/D44,"")</f>
        <v>1.648721482917749</v>
      </c>
      <c r="E45" s="34">
        <f t="shared" si="10"/>
        <v>1.6481247941141643</v>
      </c>
      <c r="F45" s="34">
        <f t="shared" si="10"/>
        <v>1.6421769750592179</v>
      </c>
      <c r="G45" s="34">
        <f t="shared" si="10"/>
        <v>1.6351440025482509</v>
      </c>
      <c r="H45" s="34">
        <f t="shared" si="10"/>
        <v>1.6273372828030068</v>
      </c>
      <c r="I45" s="34">
        <f t="shared" si="10"/>
        <v>1.6187139481923072</v>
      </c>
      <c r="J45" s="34">
        <f t="shared" si="10"/>
        <v>1.609228549026434</v>
      </c>
      <c r="K45" s="34">
        <f t="shared" si="10"/>
        <v>1.598832890072621</v>
      </c>
      <c r="L45" s="34">
        <f t="shared" si="10"/>
        <v>1.587475856532891</v>
      </c>
      <c r="M45" s="34">
        <f t="shared" si="10"/>
        <v>1.5751032288010638</v>
      </c>
      <c r="N45" s="34">
        <f t="shared" si="10"/>
        <v>1.5616574852714169</v>
      </c>
      <c r="O45" s="34">
        <f t="shared" si="10"/>
        <v>1.5470775924242026</v>
      </c>
      <c r="P45" s="34">
        <f t="shared" si="10"/>
        <v>1.5312987813629235</v>
      </c>
      <c r="Q45" s="34">
        <f t="shared" si="10"/>
        <v>1.5142523099246519</v>
      </c>
      <c r="R45" s="34">
        <f t="shared" si="10"/>
        <v>1.4958652094276292</v>
      </c>
      <c r="S45" s="34" t="str">
        <f t="shared" si="10"/>
        <v/>
      </c>
      <c r="T45" s="34" t="str">
        <f t="shared" si="10"/>
        <v/>
      </c>
      <c r="U45" s="34" t="str">
        <f t="shared" si="10"/>
        <v/>
      </c>
      <c r="V45" s="34" t="str">
        <f t="shared" si="10"/>
        <v/>
      </c>
      <c r="W45" s="34" t="str">
        <f t="shared" si="10"/>
        <v/>
      </c>
      <c r="X45" s="34" t="str">
        <f t="shared" si="10"/>
        <v/>
      </c>
      <c r="Y45" s="34" t="str">
        <f t="shared" si="10"/>
        <v/>
      </c>
      <c r="Z45" s="34" t="str">
        <f t="shared" si="10"/>
        <v/>
      </c>
      <c r="AA45" s="34" t="str">
        <f t="shared" si="10"/>
        <v/>
      </c>
      <c r="AB45" s="34" t="str">
        <f t="shared" si="10"/>
        <v/>
      </c>
    </row>
    <row r="46" spans="1:28" x14ac:dyDescent="0.25">
      <c r="A46" s="4" t="s">
        <v>368</v>
      </c>
      <c r="B46" s="2" t="s">
        <v>225</v>
      </c>
      <c r="D46" s="5">
        <f>0</f>
        <v>0</v>
      </c>
      <c r="E46" s="5">
        <f t="shared" ref="E46:AB46" si="11">D61</f>
        <v>0</v>
      </c>
      <c r="F46" s="5">
        <f t="shared" si="11"/>
        <v>0</v>
      </c>
      <c r="G46" s="5">
        <f t="shared" si="11"/>
        <v>0</v>
      </c>
      <c r="H46" s="5">
        <f t="shared" si="11"/>
        <v>0</v>
      </c>
      <c r="I46" s="5">
        <f t="shared" si="11"/>
        <v>0</v>
      </c>
      <c r="J46" s="5">
        <f t="shared" si="11"/>
        <v>0</v>
      </c>
      <c r="K46" s="5">
        <f t="shared" si="11"/>
        <v>0</v>
      </c>
      <c r="L46" s="5">
        <f t="shared" si="11"/>
        <v>0</v>
      </c>
      <c r="M46" s="5">
        <f t="shared" si="11"/>
        <v>0</v>
      </c>
      <c r="N46" s="5">
        <f t="shared" si="11"/>
        <v>0</v>
      </c>
      <c r="O46" s="5">
        <f t="shared" si="11"/>
        <v>0</v>
      </c>
      <c r="P46" s="5">
        <f t="shared" si="11"/>
        <v>0</v>
      </c>
      <c r="Q46" s="5">
        <f t="shared" si="11"/>
        <v>0</v>
      </c>
      <c r="R46" s="5">
        <f t="shared" si="11"/>
        <v>0</v>
      </c>
      <c r="S46" s="5">
        <f t="shared" si="11"/>
        <v>0</v>
      </c>
      <c r="T46" s="5">
        <f t="shared" si="11"/>
        <v>0</v>
      </c>
      <c r="U46" s="5">
        <f t="shared" si="11"/>
        <v>0</v>
      </c>
      <c r="V46" s="5">
        <f t="shared" si="11"/>
        <v>0</v>
      </c>
      <c r="W46" s="5">
        <f t="shared" si="11"/>
        <v>0</v>
      </c>
      <c r="X46" s="5">
        <f t="shared" si="11"/>
        <v>0</v>
      </c>
      <c r="Y46" s="5">
        <f t="shared" si="11"/>
        <v>0</v>
      </c>
      <c r="Z46" s="5">
        <f t="shared" si="11"/>
        <v>0</v>
      </c>
      <c r="AA46" s="5">
        <f t="shared" si="11"/>
        <v>0</v>
      </c>
      <c r="AB46" s="5">
        <f t="shared" si="11"/>
        <v>0</v>
      </c>
    </row>
    <row r="47" spans="1:28" x14ac:dyDescent="0.25">
      <c r="A47" s="4" t="s">
        <v>369</v>
      </c>
      <c r="B47" s="2" t="s">
        <v>225</v>
      </c>
      <c r="D47" s="5">
        <f>0</f>
        <v>0</v>
      </c>
      <c r="E47" s="5">
        <f t="shared" ref="E47:AB47" si="12">D53</f>
        <v>0</v>
      </c>
      <c r="F47" s="5">
        <f t="shared" si="12"/>
        <v>0</v>
      </c>
      <c r="G47" s="5">
        <f t="shared" si="12"/>
        <v>0</v>
      </c>
      <c r="H47" s="5">
        <f t="shared" si="12"/>
        <v>0</v>
      </c>
      <c r="I47" s="5">
        <f t="shared" si="12"/>
        <v>0</v>
      </c>
      <c r="J47" s="5">
        <f t="shared" si="12"/>
        <v>0</v>
      </c>
      <c r="K47" s="5">
        <f t="shared" si="12"/>
        <v>0</v>
      </c>
      <c r="L47" s="5">
        <f t="shared" si="12"/>
        <v>0</v>
      </c>
      <c r="M47" s="5">
        <f t="shared" si="12"/>
        <v>0</v>
      </c>
      <c r="N47" s="5">
        <f t="shared" si="12"/>
        <v>0</v>
      </c>
      <c r="O47" s="5">
        <f t="shared" si="12"/>
        <v>0</v>
      </c>
      <c r="P47" s="5">
        <f t="shared" si="12"/>
        <v>0</v>
      </c>
      <c r="Q47" s="5">
        <f t="shared" si="12"/>
        <v>0</v>
      </c>
      <c r="R47" s="5">
        <f t="shared" si="12"/>
        <v>0</v>
      </c>
      <c r="S47" s="5">
        <f t="shared" si="12"/>
        <v>0</v>
      </c>
      <c r="T47" s="5">
        <f t="shared" si="12"/>
        <v>0</v>
      </c>
      <c r="U47" s="5">
        <f t="shared" si="12"/>
        <v>0</v>
      </c>
      <c r="V47" s="5">
        <f t="shared" si="12"/>
        <v>0</v>
      </c>
      <c r="W47" s="5">
        <f t="shared" si="12"/>
        <v>0</v>
      </c>
      <c r="X47" s="5">
        <f t="shared" si="12"/>
        <v>0</v>
      </c>
      <c r="Y47" s="5">
        <f t="shared" si="12"/>
        <v>0</v>
      </c>
      <c r="Z47" s="5">
        <f t="shared" si="12"/>
        <v>0</v>
      </c>
      <c r="AA47" s="5">
        <f t="shared" si="12"/>
        <v>0</v>
      </c>
      <c r="AB47" s="5">
        <f t="shared" si="12"/>
        <v>0</v>
      </c>
    </row>
    <row r="48" spans="1:28" x14ac:dyDescent="0.25">
      <c r="A48" s="4" t="s">
        <v>370</v>
      </c>
      <c r="B48" s="2" t="s">
        <v>225</v>
      </c>
      <c r="D48" s="5">
        <f>D47*Inputs!$C$50</f>
        <v>0</v>
      </c>
      <c r="E48" s="5">
        <f>E47*Inputs!$C$50</f>
        <v>0</v>
      </c>
      <c r="F48" s="5">
        <f>F47*Inputs!$C$50</f>
        <v>0</v>
      </c>
      <c r="G48" s="5">
        <f>G47*Inputs!$C$50</f>
        <v>0</v>
      </c>
      <c r="H48" s="5">
        <f>H47*Inputs!$C$50</f>
        <v>0</v>
      </c>
      <c r="I48" s="5">
        <f>I47*Inputs!$C$50</f>
        <v>0</v>
      </c>
      <c r="J48" s="5">
        <f>J47*Inputs!$C$50</f>
        <v>0</v>
      </c>
      <c r="K48" s="5">
        <f>K47*Inputs!$C$50</f>
        <v>0</v>
      </c>
      <c r="L48" s="5">
        <f>L47*Inputs!$C$50</f>
        <v>0</v>
      </c>
      <c r="M48" s="5">
        <f>M47*Inputs!$C$50</f>
        <v>0</v>
      </c>
      <c r="N48" s="5">
        <f>N47*Inputs!$C$50</f>
        <v>0</v>
      </c>
      <c r="O48" s="5">
        <f>O47*Inputs!$C$50</f>
        <v>0</v>
      </c>
      <c r="P48" s="5">
        <f>P47*Inputs!$C$50</f>
        <v>0</v>
      </c>
      <c r="Q48" s="5">
        <f>Q47*Inputs!$C$50</f>
        <v>0</v>
      </c>
      <c r="R48" s="5">
        <f>R47*Inputs!$C$50</f>
        <v>0</v>
      </c>
      <c r="S48" s="5">
        <f>S47*Inputs!$C$50</f>
        <v>0</v>
      </c>
      <c r="T48" s="5">
        <f>T47*Inputs!$C$50</f>
        <v>0</v>
      </c>
      <c r="U48" s="5">
        <f>U47*Inputs!$C$50</f>
        <v>0</v>
      </c>
      <c r="V48" s="5">
        <f>V47*Inputs!$C$50</f>
        <v>0</v>
      </c>
      <c r="W48" s="5">
        <f>W47*Inputs!$C$50</f>
        <v>0</v>
      </c>
      <c r="X48" s="5">
        <f>X47*Inputs!$C$50</f>
        <v>0</v>
      </c>
      <c r="Y48" s="5">
        <f>Y47*Inputs!$C$50</f>
        <v>0</v>
      </c>
      <c r="Z48" s="5">
        <f>Z47*Inputs!$C$50</f>
        <v>0</v>
      </c>
      <c r="AA48" s="5">
        <f>AA47*Inputs!$C$50</f>
        <v>0</v>
      </c>
      <c r="AB48" s="5">
        <f>AB47*Inputs!$C$50</f>
        <v>0</v>
      </c>
    </row>
    <row r="49" spans="1:28" x14ac:dyDescent="0.25">
      <c r="A49" s="4" t="s">
        <v>371</v>
      </c>
      <c r="B49" s="2" t="s">
        <v>225</v>
      </c>
      <c r="D49" s="5">
        <f t="shared" ref="D49:AB49" si="13">D44+D47+D48</f>
        <v>212705.56593012495</v>
      </c>
      <c r="E49" s="5">
        <f t="shared" si="13"/>
        <v>212705.56593012495</v>
      </c>
      <c r="F49" s="5">
        <f t="shared" si="13"/>
        <v>212705.56593012495</v>
      </c>
      <c r="G49" s="5">
        <f t="shared" si="13"/>
        <v>212705.56593012495</v>
      </c>
      <c r="H49" s="5">
        <f t="shared" si="13"/>
        <v>212705.56593012495</v>
      </c>
      <c r="I49" s="5">
        <f t="shared" si="13"/>
        <v>212705.56593012495</v>
      </c>
      <c r="J49" s="5">
        <f t="shared" si="13"/>
        <v>212705.56593012495</v>
      </c>
      <c r="K49" s="5">
        <f t="shared" si="13"/>
        <v>212705.56593012495</v>
      </c>
      <c r="L49" s="5">
        <f t="shared" si="13"/>
        <v>212705.56593012495</v>
      </c>
      <c r="M49" s="5">
        <f t="shared" si="13"/>
        <v>212705.56593012495</v>
      </c>
      <c r="N49" s="5">
        <f t="shared" si="13"/>
        <v>212705.56593012495</v>
      </c>
      <c r="O49" s="5">
        <f t="shared" si="13"/>
        <v>212705.56593012495</v>
      </c>
      <c r="P49" s="5">
        <f t="shared" si="13"/>
        <v>212705.56593012495</v>
      </c>
      <c r="Q49" s="5">
        <f t="shared" si="13"/>
        <v>212705.56593012495</v>
      </c>
      <c r="R49" s="5">
        <f t="shared" si="13"/>
        <v>212705.56593012495</v>
      </c>
      <c r="S49" s="5">
        <f t="shared" si="13"/>
        <v>0</v>
      </c>
      <c r="T49" s="5">
        <f t="shared" si="13"/>
        <v>0</v>
      </c>
      <c r="U49" s="5">
        <f t="shared" si="13"/>
        <v>0</v>
      </c>
      <c r="V49" s="5">
        <f t="shared" si="13"/>
        <v>0</v>
      </c>
      <c r="W49" s="5">
        <f t="shared" si="13"/>
        <v>0</v>
      </c>
      <c r="X49" s="5">
        <f t="shared" si="13"/>
        <v>0</v>
      </c>
      <c r="Y49" s="5">
        <f t="shared" si="13"/>
        <v>0</v>
      </c>
      <c r="Z49" s="5">
        <f t="shared" si="13"/>
        <v>0</v>
      </c>
      <c r="AA49" s="5">
        <f t="shared" si="13"/>
        <v>0</v>
      </c>
      <c r="AB49" s="5">
        <f t="shared" si="13"/>
        <v>0</v>
      </c>
    </row>
    <row r="50" spans="1:28" x14ac:dyDescent="0.25">
      <c r="A50" s="4" t="s">
        <v>372</v>
      </c>
      <c r="B50" s="2" t="s">
        <v>225</v>
      </c>
      <c r="D50" s="5">
        <f t="shared" ref="D50:AB50" si="14">MAX(0,MIN(D49,D42+D46))</f>
        <v>212705.56593012495</v>
      </c>
      <c r="E50" s="5">
        <f t="shared" si="14"/>
        <v>212705.56593012495</v>
      </c>
      <c r="F50" s="5">
        <f t="shared" si="14"/>
        <v>212705.56593012495</v>
      </c>
      <c r="G50" s="5">
        <f t="shared" si="14"/>
        <v>212705.56593012495</v>
      </c>
      <c r="H50" s="5">
        <f t="shared" si="14"/>
        <v>212705.56593012495</v>
      </c>
      <c r="I50" s="5">
        <f t="shared" si="14"/>
        <v>212705.56593012495</v>
      </c>
      <c r="J50" s="5">
        <f t="shared" si="14"/>
        <v>212705.56593012495</v>
      </c>
      <c r="K50" s="5">
        <f t="shared" si="14"/>
        <v>212705.56593012495</v>
      </c>
      <c r="L50" s="5">
        <f t="shared" si="14"/>
        <v>212705.56593012495</v>
      </c>
      <c r="M50" s="5">
        <f t="shared" si="14"/>
        <v>212705.56593012495</v>
      </c>
      <c r="N50" s="5">
        <f t="shared" si="14"/>
        <v>212705.56593012495</v>
      </c>
      <c r="O50" s="5">
        <f t="shared" si="14"/>
        <v>212705.56593012495</v>
      </c>
      <c r="P50" s="5">
        <f t="shared" si="14"/>
        <v>212705.56593012495</v>
      </c>
      <c r="Q50" s="5">
        <f t="shared" si="14"/>
        <v>212705.56593012495</v>
      </c>
      <c r="R50" s="5">
        <f t="shared" si="14"/>
        <v>212705.56593012495</v>
      </c>
      <c r="S50" s="5">
        <f t="shared" si="14"/>
        <v>0</v>
      </c>
      <c r="T50" s="5">
        <f t="shared" si="14"/>
        <v>0</v>
      </c>
      <c r="U50" s="5">
        <f t="shared" si="14"/>
        <v>0</v>
      </c>
      <c r="V50" s="5">
        <f t="shared" si="14"/>
        <v>0</v>
      </c>
      <c r="W50" s="5">
        <f t="shared" si="14"/>
        <v>0</v>
      </c>
      <c r="X50" s="5">
        <f t="shared" si="14"/>
        <v>0</v>
      </c>
      <c r="Y50" s="5">
        <f t="shared" si="14"/>
        <v>0</v>
      </c>
      <c r="Z50" s="5">
        <f t="shared" si="14"/>
        <v>0</v>
      </c>
      <c r="AA50" s="5">
        <f t="shared" si="14"/>
        <v>0</v>
      </c>
      <c r="AB50" s="5">
        <f t="shared" si="14"/>
        <v>0</v>
      </c>
    </row>
    <row r="51" spans="1:28" x14ac:dyDescent="0.25">
      <c r="A51" s="4" t="s">
        <v>373</v>
      </c>
      <c r="B51" s="2" t="s">
        <v>225</v>
      </c>
      <c r="D51" s="5">
        <f>'Sources &amp; Uses'!$C$7</f>
        <v>106352.78296506248</v>
      </c>
      <c r="E51" s="5">
        <f t="shared" ref="E51:AB51" si="15">D58</f>
        <v>106352.78296506248</v>
      </c>
      <c r="F51" s="5">
        <f t="shared" si="15"/>
        <v>106352.78296506248</v>
      </c>
      <c r="G51" s="5">
        <f t="shared" si="15"/>
        <v>106352.78296506248</v>
      </c>
      <c r="H51" s="5">
        <f t="shared" si="15"/>
        <v>106352.78296506248</v>
      </c>
      <c r="I51" s="5">
        <f t="shared" si="15"/>
        <v>106352.78296506248</v>
      </c>
      <c r="J51" s="5">
        <f t="shared" si="15"/>
        <v>106352.78296506248</v>
      </c>
      <c r="K51" s="5">
        <f t="shared" si="15"/>
        <v>106352.78296506248</v>
      </c>
      <c r="L51" s="5">
        <f t="shared" si="15"/>
        <v>106352.78296506248</v>
      </c>
      <c r="M51" s="5">
        <f t="shared" si="15"/>
        <v>106352.78296506248</v>
      </c>
      <c r="N51" s="5">
        <f t="shared" si="15"/>
        <v>106352.78296506248</v>
      </c>
      <c r="O51" s="5">
        <f t="shared" si="15"/>
        <v>106352.78296506248</v>
      </c>
      <c r="P51" s="5">
        <f t="shared" si="15"/>
        <v>106352.78296506248</v>
      </c>
      <c r="Q51" s="5">
        <f t="shared" si="15"/>
        <v>106352.78296506248</v>
      </c>
      <c r="R51" s="5">
        <f t="shared" si="15"/>
        <v>106352.78296506248</v>
      </c>
      <c r="S51" s="5">
        <f t="shared" si="15"/>
        <v>0</v>
      </c>
      <c r="T51" s="5">
        <f t="shared" si="15"/>
        <v>0</v>
      </c>
      <c r="U51" s="5">
        <f t="shared" si="15"/>
        <v>0</v>
      </c>
      <c r="V51" s="5">
        <f t="shared" si="15"/>
        <v>0</v>
      </c>
      <c r="W51" s="5">
        <f t="shared" si="15"/>
        <v>0</v>
      </c>
      <c r="X51" s="5">
        <f t="shared" si="15"/>
        <v>0</v>
      </c>
      <c r="Y51" s="5">
        <f t="shared" si="15"/>
        <v>0</v>
      </c>
      <c r="Z51" s="5">
        <f t="shared" si="15"/>
        <v>0</v>
      </c>
      <c r="AA51" s="5">
        <f t="shared" si="15"/>
        <v>0</v>
      </c>
      <c r="AB51" s="5">
        <f t="shared" si="15"/>
        <v>0</v>
      </c>
    </row>
    <row r="52" spans="1:28" x14ac:dyDescent="0.25">
      <c r="A52" s="4" t="s">
        <v>374</v>
      </c>
      <c r="B52" s="2" t="s">
        <v>225</v>
      </c>
      <c r="D52" s="5">
        <f t="shared" ref="D52:AB52" si="16">MAX(0,MIN(D49-D50,D51))</f>
        <v>0</v>
      </c>
      <c r="E52" s="5">
        <f t="shared" si="16"/>
        <v>0</v>
      </c>
      <c r="F52" s="5">
        <f t="shared" si="16"/>
        <v>0</v>
      </c>
      <c r="G52" s="5">
        <f t="shared" si="16"/>
        <v>0</v>
      </c>
      <c r="H52" s="5">
        <f t="shared" si="16"/>
        <v>0</v>
      </c>
      <c r="I52" s="5">
        <f t="shared" si="16"/>
        <v>0</v>
      </c>
      <c r="J52" s="5">
        <f t="shared" si="16"/>
        <v>0</v>
      </c>
      <c r="K52" s="5">
        <f t="shared" si="16"/>
        <v>0</v>
      </c>
      <c r="L52" s="5">
        <f t="shared" si="16"/>
        <v>0</v>
      </c>
      <c r="M52" s="5">
        <f t="shared" si="16"/>
        <v>0</v>
      </c>
      <c r="N52" s="5">
        <f t="shared" si="16"/>
        <v>0</v>
      </c>
      <c r="O52" s="5">
        <f t="shared" si="16"/>
        <v>0</v>
      </c>
      <c r="P52" s="5">
        <f t="shared" si="16"/>
        <v>0</v>
      </c>
      <c r="Q52" s="5">
        <f t="shared" si="16"/>
        <v>0</v>
      </c>
      <c r="R52" s="5">
        <f t="shared" si="16"/>
        <v>0</v>
      </c>
      <c r="S52" s="5">
        <f t="shared" si="16"/>
        <v>0</v>
      </c>
      <c r="T52" s="5">
        <f t="shared" si="16"/>
        <v>0</v>
      </c>
      <c r="U52" s="5">
        <f t="shared" si="16"/>
        <v>0</v>
      </c>
      <c r="V52" s="5">
        <f t="shared" si="16"/>
        <v>0</v>
      </c>
      <c r="W52" s="5">
        <f t="shared" si="16"/>
        <v>0</v>
      </c>
      <c r="X52" s="5">
        <f t="shared" si="16"/>
        <v>0</v>
      </c>
      <c r="Y52" s="5">
        <f t="shared" si="16"/>
        <v>0</v>
      </c>
      <c r="Z52" s="5">
        <f t="shared" si="16"/>
        <v>0</v>
      </c>
      <c r="AA52" s="5">
        <f t="shared" si="16"/>
        <v>0</v>
      </c>
      <c r="AB52" s="5">
        <f t="shared" si="16"/>
        <v>0</v>
      </c>
    </row>
    <row r="53" spans="1:28" x14ac:dyDescent="0.25">
      <c r="A53" s="3" t="s">
        <v>375</v>
      </c>
      <c r="B53" s="2" t="s">
        <v>225</v>
      </c>
      <c r="D53" s="25">
        <f t="shared" ref="D53:AB53" si="17">MAX(0,D49-D50-D52)</f>
        <v>0</v>
      </c>
      <c r="E53" s="25">
        <f t="shared" si="17"/>
        <v>0</v>
      </c>
      <c r="F53" s="25">
        <f t="shared" si="17"/>
        <v>0</v>
      </c>
      <c r="G53" s="25">
        <f t="shared" si="17"/>
        <v>0</v>
      </c>
      <c r="H53" s="25">
        <f t="shared" si="17"/>
        <v>0</v>
      </c>
      <c r="I53" s="25">
        <f t="shared" si="17"/>
        <v>0</v>
      </c>
      <c r="J53" s="25">
        <f t="shared" si="17"/>
        <v>0</v>
      </c>
      <c r="K53" s="25">
        <f t="shared" si="17"/>
        <v>0</v>
      </c>
      <c r="L53" s="25">
        <f t="shared" si="17"/>
        <v>0</v>
      </c>
      <c r="M53" s="25">
        <f t="shared" si="17"/>
        <v>0</v>
      </c>
      <c r="N53" s="25">
        <f t="shared" si="17"/>
        <v>0</v>
      </c>
      <c r="O53" s="25">
        <f t="shared" si="17"/>
        <v>0</v>
      </c>
      <c r="P53" s="25">
        <f t="shared" si="17"/>
        <v>0</v>
      </c>
      <c r="Q53" s="25">
        <f t="shared" si="17"/>
        <v>0</v>
      </c>
      <c r="R53" s="25">
        <f t="shared" si="17"/>
        <v>0</v>
      </c>
      <c r="S53" s="25">
        <f t="shared" si="17"/>
        <v>0</v>
      </c>
      <c r="T53" s="25">
        <f t="shared" si="17"/>
        <v>0</v>
      </c>
      <c r="U53" s="25">
        <f t="shared" si="17"/>
        <v>0</v>
      </c>
      <c r="V53" s="25">
        <f t="shared" si="17"/>
        <v>0</v>
      </c>
      <c r="W53" s="25">
        <f t="shared" si="17"/>
        <v>0</v>
      </c>
      <c r="X53" s="25">
        <f t="shared" si="17"/>
        <v>0</v>
      </c>
      <c r="Y53" s="25">
        <f t="shared" si="17"/>
        <v>0</v>
      </c>
      <c r="Z53" s="25">
        <f t="shared" si="17"/>
        <v>0</v>
      </c>
      <c r="AA53" s="25">
        <f t="shared" si="17"/>
        <v>0</v>
      </c>
      <c r="AB53" s="25">
        <f t="shared" si="17"/>
        <v>0</v>
      </c>
    </row>
    <row r="54" spans="1:28" x14ac:dyDescent="0.25">
      <c r="A54" s="3" t="s">
        <v>376</v>
      </c>
      <c r="B54" s="2" t="s">
        <v>225</v>
      </c>
      <c r="D54" s="25">
        <f t="shared" ref="D54:AB54" si="18">MIN(D44,D53)</f>
        <v>0</v>
      </c>
      <c r="E54" s="25">
        <f t="shared" si="18"/>
        <v>0</v>
      </c>
      <c r="F54" s="25">
        <f t="shared" si="18"/>
        <v>0</v>
      </c>
      <c r="G54" s="25">
        <f t="shared" si="18"/>
        <v>0</v>
      </c>
      <c r="H54" s="25">
        <f t="shared" si="18"/>
        <v>0</v>
      </c>
      <c r="I54" s="25">
        <f t="shared" si="18"/>
        <v>0</v>
      </c>
      <c r="J54" s="25">
        <f t="shared" si="18"/>
        <v>0</v>
      </c>
      <c r="K54" s="25">
        <f t="shared" si="18"/>
        <v>0</v>
      </c>
      <c r="L54" s="25">
        <f t="shared" si="18"/>
        <v>0</v>
      </c>
      <c r="M54" s="25">
        <f t="shared" si="18"/>
        <v>0</v>
      </c>
      <c r="N54" s="25">
        <f t="shared" si="18"/>
        <v>0</v>
      </c>
      <c r="O54" s="25">
        <f t="shared" si="18"/>
        <v>0</v>
      </c>
      <c r="P54" s="25">
        <f t="shared" si="18"/>
        <v>0</v>
      </c>
      <c r="Q54" s="25">
        <f t="shared" si="18"/>
        <v>0</v>
      </c>
      <c r="R54" s="25">
        <f t="shared" si="18"/>
        <v>0</v>
      </c>
      <c r="S54" s="25">
        <f t="shared" si="18"/>
        <v>0</v>
      </c>
      <c r="T54" s="25">
        <f t="shared" si="18"/>
        <v>0</v>
      </c>
      <c r="U54" s="25">
        <f t="shared" si="18"/>
        <v>0</v>
      </c>
      <c r="V54" s="25">
        <f t="shared" si="18"/>
        <v>0</v>
      </c>
      <c r="W54" s="25">
        <f t="shared" si="18"/>
        <v>0</v>
      </c>
      <c r="X54" s="25">
        <f t="shared" si="18"/>
        <v>0</v>
      </c>
      <c r="Y54" s="25">
        <f t="shared" si="18"/>
        <v>0</v>
      </c>
      <c r="Z54" s="25">
        <f t="shared" si="18"/>
        <v>0</v>
      </c>
      <c r="AA54" s="25">
        <f t="shared" si="18"/>
        <v>0</v>
      </c>
      <c r="AB54" s="25">
        <f t="shared" si="18"/>
        <v>0</v>
      </c>
    </row>
    <row r="55" spans="1:28" x14ac:dyDescent="0.25">
      <c r="A55" s="4" t="s">
        <v>377</v>
      </c>
      <c r="B55" s="2" t="s">
        <v>225</v>
      </c>
      <c r="D55" s="5">
        <f>Inputs!$C$58/12*E44</f>
        <v>106352.78296506248</v>
      </c>
      <c r="E55" s="5">
        <f>Inputs!$C$58/12*F44</f>
        <v>106352.78296506248</v>
      </c>
      <c r="F55" s="5">
        <f>Inputs!$C$58/12*G44</f>
        <v>106352.78296506248</v>
      </c>
      <c r="G55" s="5">
        <f>Inputs!$C$58/12*H44</f>
        <v>106352.78296506248</v>
      </c>
      <c r="H55" s="5">
        <f>Inputs!$C$58/12*I44</f>
        <v>106352.78296506248</v>
      </c>
      <c r="I55" s="5">
        <f>Inputs!$C$58/12*J44</f>
        <v>106352.78296506248</v>
      </c>
      <c r="J55" s="5">
        <f>Inputs!$C$58/12*K44</f>
        <v>106352.78296506248</v>
      </c>
      <c r="K55" s="5">
        <f>Inputs!$C$58/12*L44</f>
        <v>106352.78296506248</v>
      </c>
      <c r="L55" s="5">
        <f>Inputs!$C$58/12*M44</f>
        <v>106352.78296506248</v>
      </c>
      <c r="M55" s="5">
        <f>Inputs!$C$58/12*N44</f>
        <v>106352.78296506248</v>
      </c>
      <c r="N55" s="5">
        <f>Inputs!$C$58/12*O44</f>
        <v>106352.78296506248</v>
      </c>
      <c r="O55" s="5">
        <f>Inputs!$C$58/12*P44</f>
        <v>106352.78296506248</v>
      </c>
      <c r="P55" s="5">
        <f>Inputs!$C$58/12*Q44</f>
        <v>106352.78296506248</v>
      </c>
      <c r="Q55" s="5">
        <f>Inputs!$C$58/12*R44</f>
        <v>106352.78296506248</v>
      </c>
      <c r="R55" s="5">
        <f>Inputs!$C$58/12*S44</f>
        <v>0</v>
      </c>
      <c r="S55" s="5">
        <f>Inputs!$C$58/12*T44</f>
        <v>0</v>
      </c>
      <c r="T55" s="5">
        <f>Inputs!$C$58/12*U44</f>
        <v>0</v>
      </c>
      <c r="U55" s="5">
        <f>Inputs!$C$58/12*V44</f>
        <v>0</v>
      </c>
      <c r="V55" s="5">
        <f>Inputs!$C$58/12*W44</f>
        <v>0</v>
      </c>
      <c r="W55" s="5">
        <f>Inputs!$C$58/12*X44</f>
        <v>0</v>
      </c>
      <c r="X55" s="5">
        <f>Inputs!$C$58/12*Y44</f>
        <v>0</v>
      </c>
      <c r="Y55" s="5">
        <f>Inputs!$C$58/12*Z44</f>
        <v>0</v>
      </c>
      <c r="Z55" s="5">
        <f>Inputs!$C$58/12*AA44</f>
        <v>0</v>
      </c>
      <c r="AA55" s="5">
        <f>Inputs!$C$58/12*AB44</f>
        <v>0</v>
      </c>
      <c r="AB55" s="5">
        <f>0</f>
        <v>0</v>
      </c>
    </row>
    <row r="56" spans="1:28" x14ac:dyDescent="0.25">
      <c r="A56" s="4" t="s">
        <v>378</v>
      </c>
      <c r="B56" s="2" t="s">
        <v>225</v>
      </c>
      <c r="D56" s="5">
        <f t="shared" ref="D56:AB56" si="19">MAX(0,MIN(D42+D46-D50,MAX(0,D55-(D51-D52))))</f>
        <v>0</v>
      </c>
      <c r="E56" s="5">
        <f t="shared" si="19"/>
        <v>0</v>
      </c>
      <c r="F56" s="5">
        <f t="shared" si="19"/>
        <v>0</v>
      </c>
      <c r="G56" s="5">
        <f t="shared" si="19"/>
        <v>0</v>
      </c>
      <c r="H56" s="5">
        <f t="shared" si="19"/>
        <v>0</v>
      </c>
      <c r="I56" s="5">
        <f t="shared" si="19"/>
        <v>0</v>
      </c>
      <c r="J56" s="5">
        <f t="shared" si="19"/>
        <v>0</v>
      </c>
      <c r="K56" s="5">
        <f t="shared" si="19"/>
        <v>0</v>
      </c>
      <c r="L56" s="5">
        <f t="shared" si="19"/>
        <v>0</v>
      </c>
      <c r="M56" s="5">
        <f t="shared" si="19"/>
        <v>0</v>
      </c>
      <c r="N56" s="5">
        <f t="shared" si="19"/>
        <v>0</v>
      </c>
      <c r="O56" s="5">
        <f t="shared" si="19"/>
        <v>0</v>
      </c>
      <c r="P56" s="5">
        <f t="shared" si="19"/>
        <v>0</v>
      </c>
      <c r="Q56" s="5">
        <f t="shared" si="19"/>
        <v>0</v>
      </c>
      <c r="R56" s="5">
        <f t="shared" si="19"/>
        <v>0</v>
      </c>
      <c r="S56" s="5">
        <f t="shared" si="19"/>
        <v>0</v>
      </c>
      <c r="T56" s="5">
        <f t="shared" si="19"/>
        <v>0</v>
      </c>
      <c r="U56" s="5">
        <f t="shared" si="19"/>
        <v>0</v>
      </c>
      <c r="V56" s="5">
        <f t="shared" si="19"/>
        <v>0</v>
      </c>
      <c r="W56" s="5">
        <f t="shared" si="19"/>
        <v>0</v>
      </c>
      <c r="X56" s="5">
        <f t="shared" si="19"/>
        <v>0</v>
      </c>
      <c r="Y56" s="5">
        <f t="shared" si="19"/>
        <v>0</v>
      </c>
      <c r="Z56" s="5">
        <f t="shared" si="19"/>
        <v>0</v>
      </c>
      <c r="AA56" s="5">
        <f t="shared" si="19"/>
        <v>0</v>
      </c>
      <c r="AB56" s="5">
        <f t="shared" si="19"/>
        <v>0</v>
      </c>
    </row>
    <row r="57" spans="1:28" x14ac:dyDescent="0.25">
      <c r="A57" s="4" t="s">
        <v>379</v>
      </c>
      <c r="B57" s="2" t="s">
        <v>225</v>
      </c>
      <c r="D57" s="5">
        <f t="shared" ref="D57:AB57" si="20">MAX(0,(D51-D52)-D55)</f>
        <v>0</v>
      </c>
      <c r="E57" s="5">
        <f t="shared" si="20"/>
        <v>0</v>
      </c>
      <c r="F57" s="5">
        <f t="shared" si="20"/>
        <v>0</v>
      </c>
      <c r="G57" s="5">
        <f t="shared" si="20"/>
        <v>0</v>
      </c>
      <c r="H57" s="5">
        <f t="shared" si="20"/>
        <v>0</v>
      </c>
      <c r="I57" s="5">
        <f t="shared" si="20"/>
        <v>0</v>
      </c>
      <c r="J57" s="5">
        <f t="shared" si="20"/>
        <v>0</v>
      </c>
      <c r="K57" s="5">
        <f t="shared" si="20"/>
        <v>0</v>
      </c>
      <c r="L57" s="5">
        <f t="shared" si="20"/>
        <v>0</v>
      </c>
      <c r="M57" s="5">
        <f t="shared" si="20"/>
        <v>0</v>
      </c>
      <c r="N57" s="5">
        <f t="shared" si="20"/>
        <v>0</v>
      </c>
      <c r="O57" s="5">
        <f t="shared" si="20"/>
        <v>0</v>
      </c>
      <c r="P57" s="5">
        <f t="shared" si="20"/>
        <v>0</v>
      </c>
      <c r="Q57" s="5">
        <f t="shared" si="20"/>
        <v>0</v>
      </c>
      <c r="R57" s="5">
        <f t="shared" si="20"/>
        <v>106352.78296506248</v>
      </c>
      <c r="S57" s="5">
        <f t="shared" si="20"/>
        <v>0</v>
      </c>
      <c r="T57" s="5">
        <f t="shared" si="20"/>
        <v>0</v>
      </c>
      <c r="U57" s="5">
        <f t="shared" si="20"/>
        <v>0</v>
      </c>
      <c r="V57" s="5">
        <f t="shared" si="20"/>
        <v>0</v>
      </c>
      <c r="W57" s="5">
        <f t="shared" si="20"/>
        <v>0</v>
      </c>
      <c r="X57" s="5">
        <f t="shared" si="20"/>
        <v>0</v>
      </c>
      <c r="Y57" s="5">
        <f t="shared" si="20"/>
        <v>0</v>
      </c>
      <c r="Z57" s="5">
        <f t="shared" si="20"/>
        <v>0</v>
      </c>
      <c r="AA57" s="5">
        <f t="shared" si="20"/>
        <v>0</v>
      </c>
      <c r="AB57" s="5">
        <f t="shared" si="20"/>
        <v>0</v>
      </c>
    </row>
    <row r="58" spans="1:28" x14ac:dyDescent="0.25">
      <c r="A58" s="4" t="s">
        <v>380</v>
      </c>
      <c r="B58" s="2" t="s">
        <v>225</v>
      </c>
      <c r="D58" s="5">
        <f t="shared" ref="D58:AB58" si="21">D51-D52+D56-D57</f>
        <v>106352.78296506248</v>
      </c>
      <c r="E58" s="5">
        <f t="shared" si="21"/>
        <v>106352.78296506248</v>
      </c>
      <c r="F58" s="5">
        <f t="shared" si="21"/>
        <v>106352.78296506248</v>
      </c>
      <c r="G58" s="5">
        <f t="shared" si="21"/>
        <v>106352.78296506248</v>
      </c>
      <c r="H58" s="5">
        <f t="shared" si="21"/>
        <v>106352.78296506248</v>
      </c>
      <c r="I58" s="5">
        <f t="shared" si="21"/>
        <v>106352.78296506248</v>
      </c>
      <c r="J58" s="5">
        <f t="shared" si="21"/>
        <v>106352.78296506248</v>
      </c>
      <c r="K58" s="5">
        <f t="shared" si="21"/>
        <v>106352.78296506248</v>
      </c>
      <c r="L58" s="5">
        <f t="shared" si="21"/>
        <v>106352.78296506248</v>
      </c>
      <c r="M58" s="5">
        <f t="shared" si="21"/>
        <v>106352.78296506248</v>
      </c>
      <c r="N58" s="5">
        <f t="shared" si="21"/>
        <v>106352.78296506248</v>
      </c>
      <c r="O58" s="5">
        <f t="shared" si="21"/>
        <v>106352.78296506248</v>
      </c>
      <c r="P58" s="5">
        <f t="shared" si="21"/>
        <v>106352.78296506248</v>
      </c>
      <c r="Q58" s="5">
        <f t="shared" si="21"/>
        <v>106352.78296506248</v>
      </c>
      <c r="R58" s="5">
        <f t="shared" si="21"/>
        <v>0</v>
      </c>
      <c r="S58" s="5">
        <f t="shared" si="21"/>
        <v>0</v>
      </c>
      <c r="T58" s="5">
        <f t="shared" si="21"/>
        <v>0</v>
      </c>
      <c r="U58" s="5">
        <f t="shared" si="21"/>
        <v>0</v>
      </c>
      <c r="V58" s="5">
        <f t="shared" si="21"/>
        <v>0</v>
      </c>
      <c r="W58" s="5">
        <f t="shared" si="21"/>
        <v>0</v>
      </c>
      <c r="X58" s="5">
        <f t="shared" si="21"/>
        <v>0</v>
      </c>
      <c r="Y58" s="5">
        <f t="shared" si="21"/>
        <v>0</v>
      </c>
      <c r="Z58" s="5">
        <f t="shared" si="21"/>
        <v>0</v>
      </c>
      <c r="AA58" s="5">
        <f t="shared" si="21"/>
        <v>0</v>
      </c>
      <c r="AB58" s="5">
        <f t="shared" si="21"/>
        <v>0</v>
      </c>
    </row>
    <row r="59" spans="1:28" x14ac:dyDescent="0.25">
      <c r="A59" s="4" t="s">
        <v>381</v>
      </c>
      <c r="B59" s="2" t="s">
        <v>225</v>
      </c>
      <c r="D59" s="5">
        <f t="shared" ref="D59:AB59" si="22">D42+D46-D50-D56+D57</f>
        <v>137986.67015504971</v>
      </c>
      <c r="E59" s="5">
        <f t="shared" si="22"/>
        <v>137859.75112539902</v>
      </c>
      <c r="F59" s="5">
        <f t="shared" si="22"/>
        <v>136594.61690726667</v>
      </c>
      <c r="G59" s="5">
        <f t="shared" si="22"/>
        <v>135098.66450915043</v>
      </c>
      <c r="H59" s="5">
        <f t="shared" si="22"/>
        <v>133438.1317676804</v>
      </c>
      <c r="I59" s="5">
        <f t="shared" si="22"/>
        <v>131603.90049910673</v>
      </c>
      <c r="J59" s="5">
        <f t="shared" si="22"/>
        <v>129586.3033014565</v>
      </c>
      <c r="K59" s="5">
        <f t="shared" si="22"/>
        <v>127375.08878046914</v>
      </c>
      <c r="L59" s="5">
        <f t="shared" si="22"/>
        <v>124959.38453411346</v>
      </c>
      <c r="M59" s="5">
        <f t="shared" si="22"/>
        <v>122327.65775037243</v>
      </c>
      <c r="N59" s="5">
        <f t="shared" si="22"/>
        <v>119467.67326354753</v>
      </c>
      <c r="O59" s="5">
        <f t="shared" si="22"/>
        <v>116366.44890428026</v>
      </c>
      <c r="P59" s="5">
        <f t="shared" si="22"/>
        <v>113010.20796778635</v>
      </c>
      <c r="Q59" s="5">
        <f t="shared" si="22"/>
        <v>109384.32861339708</v>
      </c>
      <c r="R59" s="5">
        <f t="shared" si="22"/>
        <v>211826.07296142628</v>
      </c>
      <c r="S59" s="5">
        <f t="shared" si="22"/>
        <v>334990.13608422398</v>
      </c>
      <c r="T59" s="5">
        <f t="shared" si="22"/>
        <v>335231.93481056776</v>
      </c>
      <c r="U59" s="5">
        <f t="shared" si="22"/>
        <v>335427.86681275495</v>
      </c>
      <c r="V59" s="5">
        <f t="shared" si="22"/>
        <v>335576.80430631666</v>
      </c>
      <c r="W59" s="5">
        <f t="shared" si="22"/>
        <v>335677.59590201953</v>
      </c>
      <c r="X59" s="5">
        <f t="shared" si="22"/>
        <v>8469.5463494714804</v>
      </c>
      <c r="Y59" s="5">
        <f t="shared" si="22"/>
        <v>4442.4719810478637</v>
      </c>
      <c r="Z59" s="5">
        <f t="shared" si="22"/>
        <v>351.68478643744345</v>
      </c>
      <c r="AA59" s="5">
        <f t="shared" si="22"/>
        <v>-4829.1768100989284</v>
      </c>
      <c r="AB59" s="5">
        <f t="shared" si="22"/>
        <v>-10375.300706925773</v>
      </c>
    </row>
    <row r="60" spans="1:28" x14ac:dyDescent="0.25">
      <c r="A60" s="4" t="s">
        <v>382</v>
      </c>
      <c r="B60" s="2" t="s">
        <v>225</v>
      </c>
      <c r="D60" s="5">
        <f>IF(AND(D53&lt;0.5,IF(D44&gt;0,D42/D44,99)&gt;=Inputs!$C$59),D59,0)</f>
        <v>137986.67015504971</v>
      </c>
      <c r="E60" s="5">
        <f>IF(AND(E53&lt;0.5,IF(E44&gt;0,E42/E44,99)&gt;=Inputs!$C$59),E59,0)</f>
        <v>137859.75112539902</v>
      </c>
      <c r="F60" s="5">
        <f>IF(AND(F53&lt;0.5,IF(F44&gt;0,F42/F44,99)&gt;=Inputs!$C$59),F59,0)</f>
        <v>136594.61690726667</v>
      </c>
      <c r="G60" s="5">
        <f>IF(AND(G53&lt;0.5,IF(G44&gt;0,G42/G44,99)&gt;=Inputs!$C$59),G59,0)</f>
        <v>135098.66450915043</v>
      </c>
      <c r="H60" s="5">
        <f>IF(AND(H53&lt;0.5,IF(H44&gt;0,H42/H44,99)&gt;=Inputs!$C$59),H59,0)</f>
        <v>133438.1317676804</v>
      </c>
      <c r="I60" s="5">
        <f>IF(AND(I53&lt;0.5,IF(I44&gt;0,I42/I44,99)&gt;=Inputs!$C$59),I59,0)</f>
        <v>131603.90049910673</v>
      </c>
      <c r="J60" s="5">
        <f>IF(AND(J53&lt;0.5,IF(J44&gt;0,J42/J44,99)&gt;=Inputs!$C$59),J59,0)</f>
        <v>129586.3033014565</v>
      </c>
      <c r="K60" s="5">
        <f>IF(AND(K53&lt;0.5,IF(K44&gt;0,K42/K44,99)&gt;=Inputs!$C$59),K59,0)</f>
        <v>127375.08878046914</v>
      </c>
      <c r="L60" s="5">
        <f>IF(AND(L53&lt;0.5,IF(L44&gt;0,L42/L44,99)&gt;=Inputs!$C$59),L59,0)</f>
        <v>124959.38453411346</v>
      </c>
      <c r="M60" s="5">
        <f>IF(AND(M53&lt;0.5,IF(M44&gt;0,M42/M44,99)&gt;=Inputs!$C$59),M59,0)</f>
        <v>122327.65775037243</v>
      </c>
      <c r="N60" s="5">
        <f>IF(AND(N53&lt;0.5,IF(N44&gt;0,N42/N44,99)&gt;=Inputs!$C$59),N59,0)</f>
        <v>119467.67326354753</v>
      </c>
      <c r="O60" s="5">
        <f>IF(AND(O53&lt;0.5,IF(O44&gt;0,O42/O44,99)&gt;=Inputs!$C$59),O59,0)</f>
        <v>116366.44890428026</v>
      </c>
      <c r="P60" s="5">
        <f>IF(AND(P53&lt;0.5,IF(P44&gt;0,P42/P44,99)&gt;=Inputs!$C$59),P59,0)</f>
        <v>113010.20796778635</v>
      </c>
      <c r="Q60" s="5">
        <f>IF(AND(Q53&lt;0.5,IF(Q44&gt;0,Q42/Q44,99)&gt;=Inputs!$C$59),Q59,0)</f>
        <v>109384.32861339708</v>
      </c>
      <c r="R60" s="5">
        <f>IF(AND(R53&lt;0.5,IF(R44&gt;0,R42/R44,99)&gt;=Inputs!$C$59),R59,0)</f>
        <v>211826.07296142628</v>
      </c>
      <c r="S60" s="5">
        <f>IF(AND(S53&lt;0.5,IF(S44&gt;0,S42/S44,99)&gt;=Inputs!$C$59),S59,0)</f>
        <v>334990.13608422398</v>
      </c>
      <c r="T60" s="5">
        <f>IF(AND(T53&lt;0.5,IF(T44&gt;0,T42/T44,99)&gt;=Inputs!$C$59),T59,0)</f>
        <v>335231.93481056776</v>
      </c>
      <c r="U60" s="5">
        <f>IF(AND(U53&lt;0.5,IF(U44&gt;0,U42/U44,99)&gt;=Inputs!$C$59),U59,0)</f>
        <v>335427.86681275495</v>
      </c>
      <c r="V60" s="5">
        <f>IF(AND(V53&lt;0.5,IF(V44&gt;0,V42/V44,99)&gt;=Inputs!$C$59),V59,0)</f>
        <v>335576.80430631666</v>
      </c>
      <c r="W60" s="5">
        <f>IF(AND(W53&lt;0.5,IF(W44&gt;0,W42/W44,99)&gt;=Inputs!$C$59),W59,0)</f>
        <v>335677.59590201953</v>
      </c>
      <c r="X60" s="5">
        <f>IF(AND(X53&lt;0.5,IF(X44&gt;0,X42/X44,99)&gt;=Inputs!$C$59),X59,0)</f>
        <v>8469.5463494714804</v>
      </c>
      <c r="Y60" s="5">
        <f>IF(AND(Y53&lt;0.5,IF(Y44&gt;0,Y42/Y44,99)&gt;=Inputs!$C$59),Y59,0)</f>
        <v>4442.4719810478637</v>
      </c>
      <c r="Z60" s="5">
        <f>IF(AND(Z53&lt;0.5,IF(Z44&gt;0,Z42/Z44,99)&gt;=Inputs!$C$59),Z59,0)</f>
        <v>351.68478643744345</v>
      </c>
      <c r="AA60" s="5">
        <f>IF(AND(AA53&lt;0.5,IF(AA44&gt;0,AA42/AA44,99)&gt;=Inputs!$C$59),AA59,0)</f>
        <v>-4829.1768100989284</v>
      </c>
      <c r="AB60" s="5">
        <f>IF(AND(AB53&lt;0.5,IF(AB44&gt;0,AB42/AB44,99)&gt;=Inputs!$C$59),AB59,0)</f>
        <v>-10375.300706925773</v>
      </c>
    </row>
    <row r="61" spans="1:28" x14ac:dyDescent="0.25">
      <c r="A61" s="4" t="s">
        <v>383</v>
      </c>
      <c r="B61" s="2" t="s">
        <v>225</v>
      </c>
      <c r="D61" s="5">
        <f t="shared" ref="D61:AB61" si="23">D59-D60</f>
        <v>0</v>
      </c>
      <c r="E61" s="5">
        <f t="shared" si="23"/>
        <v>0</v>
      </c>
      <c r="F61" s="5">
        <f t="shared" si="23"/>
        <v>0</v>
      </c>
      <c r="G61" s="5">
        <f t="shared" si="23"/>
        <v>0</v>
      </c>
      <c r="H61" s="5">
        <f t="shared" si="23"/>
        <v>0</v>
      </c>
      <c r="I61" s="5">
        <f t="shared" si="23"/>
        <v>0</v>
      </c>
      <c r="J61" s="5">
        <f t="shared" si="23"/>
        <v>0</v>
      </c>
      <c r="K61" s="5">
        <f t="shared" si="23"/>
        <v>0</v>
      </c>
      <c r="L61" s="5">
        <f t="shared" si="23"/>
        <v>0</v>
      </c>
      <c r="M61" s="5">
        <f t="shared" si="23"/>
        <v>0</v>
      </c>
      <c r="N61" s="5">
        <f t="shared" si="23"/>
        <v>0</v>
      </c>
      <c r="O61" s="5">
        <f t="shared" si="23"/>
        <v>0</v>
      </c>
      <c r="P61" s="5">
        <f t="shared" si="23"/>
        <v>0</v>
      </c>
      <c r="Q61" s="5">
        <f t="shared" si="23"/>
        <v>0</v>
      </c>
      <c r="R61" s="5">
        <f t="shared" si="23"/>
        <v>0</v>
      </c>
      <c r="S61" s="5">
        <f t="shared" si="23"/>
        <v>0</v>
      </c>
      <c r="T61" s="5">
        <f t="shared" si="23"/>
        <v>0</v>
      </c>
      <c r="U61" s="5">
        <f t="shared" si="23"/>
        <v>0</v>
      </c>
      <c r="V61" s="5">
        <f t="shared" si="23"/>
        <v>0</v>
      </c>
      <c r="W61" s="5">
        <f t="shared" si="23"/>
        <v>0</v>
      </c>
      <c r="X61" s="5">
        <f t="shared" si="23"/>
        <v>0</v>
      </c>
      <c r="Y61" s="5">
        <f t="shared" si="23"/>
        <v>0</v>
      </c>
      <c r="Z61" s="5">
        <f t="shared" si="23"/>
        <v>0</v>
      </c>
      <c r="AA61" s="5">
        <f t="shared" si="23"/>
        <v>0</v>
      </c>
      <c r="AB61" s="5">
        <f t="shared" si="23"/>
        <v>0</v>
      </c>
    </row>
    <row r="62" spans="1:28" x14ac:dyDescent="0.25">
      <c r="A62" s="31" t="s">
        <v>384</v>
      </c>
    </row>
    <row r="63" spans="1:28" x14ac:dyDescent="0.25">
      <c r="A63" s="4" t="s">
        <v>385</v>
      </c>
      <c r="B63" s="2" t="s">
        <v>225</v>
      </c>
      <c r="C63" s="5">
        <f>-'Sources &amp; Uses'!$C$15</f>
        <v>-3106352.7829650622</v>
      </c>
      <c r="D63" s="5">
        <f>D60+IF(D$4=Inputs!$C$12,D61+D58,0)</f>
        <v>137986.67015504971</v>
      </c>
      <c r="E63" s="5">
        <f>E60+IF(E$4=Inputs!$C$12,E61+E58,0)</f>
        <v>137859.75112539902</v>
      </c>
      <c r="F63" s="5">
        <f>F60+IF(F$4=Inputs!$C$12,F61+F58,0)</f>
        <v>136594.61690726667</v>
      </c>
      <c r="G63" s="5">
        <f>G60+IF(G$4=Inputs!$C$12,G61+G58,0)</f>
        <v>135098.66450915043</v>
      </c>
      <c r="H63" s="5">
        <f>H60+IF(H$4=Inputs!$C$12,H61+H58,0)</f>
        <v>133438.1317676804</v>
      </c>
      <c r="I63" s="5">
        <f>I60+IF(I$4=Inputs!$C$12,I61+I58,0)</f>
        <v>131603.90049910673</v>
      </c>
      <c r="J63" s="5">
        <f>J60+IF(J$4=Inputs!$C$12,J61+J58,0)</f>
        <v>129586.3033014565</v>
      </c>
      <c r="K63" s="5">
        <f>K60+IF(K$4=Inputs!$C$12,K61+K58,0)</f>
        <v>127375.08878046914</v>
      </c>
      <c r="L63" s="5">
        <f>L60+IF(L$4=Inputs!$C$12,L61+L58,0)</f>
        <v>124959.38453411346</v>
      </c>
      <c r="M63" s="5">
        <f>M60+IF(M$4=Inputs!$C$12,M61+M58,0)</f>
        <v>122327.65775037243</v>
      </c>
      <c r="N63" s="5">
        <f>N60+IF(N$4=Inputs!$C$12,N61+N58,0)</f>
        <v>119467.67326354753</v>
      </c>
      <c r="O63" s="5">
        <f>O60+IF(O$4=Inputs!$C$12,O61+O58,0)</f>
        <v>116366.44890428026</v>
      </c>
      <c r="P63" s="5">
        <f>P60+IF(P$4=Inputs!$C$12,P61+P58,0)</f>
        <v>113010.20796778635</v>
      </c>
      <c r="Q63" s="5">
        <f>Q60+IF(Q$4=Inputs!$C$12,Q61+Q58,0)</f>
        <v>109384.32861339708</v>
      </c>
      <c r="R63" s="5">
        <f>R60+IF(R$4=Inputs!$C$12,R61+R58,0)</f>
        <v>211826.07296142628</v>
      </c>
      <c r="S63" s="5">
        <f>S60+IF(S$4=Inputs!$C$12,S61+S58,0)</f>
        <v>334990.13608422398</v>
      </c>
      <c r="T63" s="5">
        <f>T60+IF(T$4=Inputs!$C$12,T61+T58,0)</f>
        <v>335231.93481056776</v>
      </c>
      <c r="U63" s="5">
        <f>U60+IF(U$4=Inputs!$C$12,U61+U58,0)</f>
        <v>335427.86681275495</v>
      </c>
      <c r="V63" s="5">
        <f>V60+IF(V$4=Inputs!$C$12,V61+V58,0)</f>
        <v>335576.80430631666</v>
      </c>
      <c r="W63" s="5">
        <f>W60+IF(W$4=Inputs!$C$12,W61+W58,0)</f>
        <v>335677.59590201953</v>
      </c>
      <c r="X63" s="5">
        <f>X60+IF(X$4=Inputs!$C$12,X61+X58,0)</f>
        <v>8469.5463494714804</v>
      </c>
      <c r="Y63" s="5">
        <f>Y60+IF(Y$4=Inputs!$C$12,Y61+Y58,0)</f>
        <v>4442.4719810478637</v>
      </c>
      <c r="Z63" s="5">
        <f>Z60+IF(Z$4=Inputs!$C$12,Z61+Z58,0)</f>
        <v>351.68478643744345</v>
      </c>
      <c r="AA63" s="5">
        <f>AA60+IF(AA$4=Inputs!$C$12,AA61+AA58,0)</f>
        <v>-4829.1768100989284</v>
      </c>
      <c r="AB63" s="5">
        <f>AB60+IF(AB$4=Inputs!$C$12,AB61+AB58,0)</f>
        <v>-10375.300706925773</v>
      </c>
    </row>
    <row r="64" spans="1:28" x14ac:dyDescent="0.25">
      <c r="A64" s="4" t="s">
        <v>386</v>
      </c>
      <c r="B64" s="2" t="s">
        <v>225</v>
      </c>
      <c r="D64" s="5">
        <f>D9*(Inputs!$C$17*(1+Inputs!$C$18)^(D$4-1)-D16)</f>
        <v>49480.200000000026</v>
      </c>
      <c r="E64" s="5">
        <f>E9*(Inputs!$C$17*(1+Inputs!$C$18)^(E$4-1)-E16)</f>
        <v>49775.101992000018</v>
      </c>
      <c r="F64" s="5">
        <f>F9*(Inputs!$C$17*(1+Inputs!$C$18)^(F$4-1)-F16)</f>
        <v>50071.761599872363</v>
      </c>
      <c r="G64" s="5">
        <f>G9*(Inputs!$C$17*(1+Inputs!$C$18)^(G$4-1)-G16)</f>
        <v>50370.189299007579</v>
      </c>
      <c r="H64" s="5">
        <f>H9*(Inputs!$C$17*(1+Inputs!$C$18)^(H$4-1)-H16)</f>
        <v>50670.395627229664</v>
      </c>
      <c r="I64" s="5">
        <f>I9*(Inputs!$C$17*(1+Inputs!$C$18)^(I$4-1)-I16)</f>
        <v>50972.391185167951</v>
      </c>
      <c r="J64" s="5">
        <f>J9*(Inputs!$C$17*(1+Inputs!$C$18)^(J$4-1)-J16)</f>
        <v>51276.186636631588</v>
      </c>
      <c r="K64" s="5">
        <f>K9*(Inputs!$C$17*(1+Inputs!$C$18)^(K$4-1)-K16)</f>
        <v>51581.792708985849</v>
      </c>
      <c r="L64" s="5">
        <f>L9*(Inputs!$C$17*(1+Inputs!$C$18)^(L$4-1)-L16)</f>
        <v>51889.220193531495</v>
      </c>
      <c r="M64" s="5">
        <f>M9*(Inputs!$C$17*(1+Inputs!$C$18)^(M$4-1)-M16)</f>
        <v>52198.479945884836</v>
      </c>
      <c r="N64" s="5">
        <f>N9*(Inputs!$C$17*(1+Inputs!$C$18)^(N$4-1)-N16)</f>
        <v>52509.582886362361</v>
      </c>
      <c r="O64" s="5">
        <f>O9*(Inputs!$C$17*(1+Inputs!$C$18)^(O$4-1)-O16)</f>
        <v>52822.540000365087</v>
      </c>
      <c r="P64" s="5">
        <f>P9*(Inputs!$C$17*(1+Inputs!$C$18)^(P$4-1)-P16)</f>
        <v>53137.362338767292</v>
      </c>
      <c r="Q64" s="5">
        <f>Q9*(Inputs!$C$17*(1+Inputs!$C$18)^(Q$4-1)-Q16)</f>
        <v>53454.061018306296</v>
      </c>
      <c r="R64" s="5">
        <f>R9*(Inputs!$C$17*(1+Inputs!$C$18)^(R$4-1)-R16)</f>
        <v>53772.647221975436</v>
      </c>
      <c r="S64" s="5">
        <f>S9*(Inputs!$C$17*(1+Inputs!$C$18)^(S$4-1)-S16)</f>
        <v>54093.132199418309</v>
      </c>
      <c r="T64" s="5">
        <f>T9*(Inputs!$C$17*(1+Inputs!$C$18)^(T$4-1)-T16)</f>
        <v>54415.527267326943</v>
      </c>
      <c r="U64" s="5">
        <f>U9*(Inputs!$C$17*(1+Inputs!$C$18)^(U$4-1)-U16)</f>
        <v>54739.843809840291</v>
      </c>
      <c r="V64" s="5">
        <f>V9*(Inputs!$C$17*(1+Inputs!$C$18)^(V$4-1)-V16)</f>
        <v>55066.093278946893</v>
      </c>
      <c r="W64" s="5">
        <f>W9*(Inputs!$C$17*(1+Inputs!$C$18)^(W$4-1)-W16)</f>
        <v>55394.287194889352</v>
      </c>
      <c r="X64" s="5">
        <f>X9*(Inputs!$C$17*(1+Inputs!$C$18)^(X$4-1)-X16)</f>
        <v>0</v>
      </c>
      <c r="Y64" s="5">
        <f>Y9*(Inputs!$C$17*(1+Inputs!$C$18)^(Y$4-1)-Y16)</f>
        <v>0</v>
      </c>
      <c r="Z64" s="5">
        <f>Z9*(Inputs!$C$17*(1+Inputs!$C$18)^(Z$4-1)-Z16)</f>
        <v>0</v>
      </c>
      <c r="AA64" s="5">
        <f>AA9*(Inputs!$C$17*(1+Inputs!$C$18)^(AA$4-1)-AA16)</f>
        <v>0</v>
      </c>
      <c r="AB64" s="5">
        <f>AB9*(Inputs!$C$17*(1+Inputs!$C$18)^(AB$4-1)-AB16)</f>
        <v>0</v>
      </c>
    </row>
    <row r="65" spans="1:28" x14ac:dyDescent="0.25">
      <c r="A65" s="4" t="s">
        <v>387</v>
      </c>
      <c r="B65" s="2" t="s">
        <v>225</v>
      </c>
      <c r="C65" s="5">
        <f>C63</f>
        <v>-3106352.7829650622</v>
      </c>
      <c r="D65" s="5">
        <f t="shared" ref="D65:AB65" si="24">D63+D64</f>
        <v>187466.87015504972</v>
      </c>
      <c r="E65" s="5">
        <f t="shared" si="24"/>
        <v>187634.85311739903</v>
      </c>
      <c r="F65" s="5">
        <f t="shared" si="24"/>
        <v>186666.37850713904</v>
      </c>
      <c r="G65" s="5">
        <f t="shared" si="24"/>
        <v>185468.85380815802</v>
      </c>
      <c r="H65" s="5">
        <f t="shared" si="24"/>
        <v>184108.52739491005</v>
      </c>
      <c r="I65" s="5">
        <f t="shared" si="24"/>
        <v>182576.29168427468</v>
      </c>
      <c r="J65" s="5">
        <f t="shared" si="24"/>
        <v>180862.48993808808</v>
      </c>
      <c r="K65" s="5">
        <f t="shared" si="24"/>
        <v>178956.881489455</v>
      </c>
      <c r="L65" s="5">
        <f t="shared" si="24"/>
        <v>176848.60472764494</v>
      </c>
      <c r="M65" s="5">
        <f t="shared" si="24"/>
        <v>174526.13769625727</v>
      </c>
      <c r="N65" s="5">
        <f t="shared" si="24"/>
        <v>171977.2561499099</v>
      </c>
      <c r="O65" s="5">
        <f t="shared" si="24"/>
        <v>169188.98890464535</v>
      </c>
      <c r="P65" s="5">
        <f t="shared" si="24"/>
        <v>166147.57030655365</v>
      </c>
      <c r="Q65" s="5">
        <f t="shared" si="24"/>
        <v>162838.38963170338</v>
      </c>
      <c r="R65" s="5">
        <f t="shared" si="24"/>
        <v>265598.72018340172</v>
      </c>
      <c r="S65" s="5">
        <f t="shared" si="24"/>
        <v>389083.2682836423</v>
      </c>
      <c r="T65" s="5">
        <f t="shared" si="24"/>
        <v>389647.46207789471</v>
      </c>
      <c r="U65" s="5">
        <f t="shared" si="24"/>
        <v>390167.71062259522</v>
      </c>
      <c r="V65" s="5">
        <f t="shared" si="24"/>
        <v>390642.89758526353</v>
      </c>
      <c r="W65" s="5">
        <f t="shared" si="24"/>
        <v>391071.88309690886</v>
      </c>
      <c r="X65" s="5">
        <f t="shared" si="24"/>
        <v>8469.5463494714804</v>
      </c>
      <c r="Y65" s="5">
        <f t="shared" si="24"/>
        <v>4442.4719810478637</v>
      </c>
      <c r="Z65" s="5">
        <f t="shared" si="24"/>
        <v>351.68478643744345</v>
      </c>
      <c r="AA65" s="5">
        <f t="shared" si="24"/>
        <v>-4829.1768100989284</v>
      </c>
      <c r="AB65" s="5">
        <f t="shared" si="24"/>
        <v>-10375.300706925773</v>
      </c>
    </row>
    <row r="66" spans="1:28" x14ac:dyDescent="0.25">
      <c r="A66" s="4" t="s">
        <v>388</v>
      </c>
      <c r="B66" s="2" t="s">
        <v>225</v>
      </c>
      <c r="D66" s="35">
        <f t="shared" ref="D66:AB66" si="25">IF(D44&gt;1,MAX(0,D44-D42),0)</f>
        <v>0</v>
      </c>
      <c r="E66" s="35">
        <f t="shared" si="25"/>
        <v>0</v>
      </c>
      <c r="F66" s="35">
        <f t="shared" si="25"/>
        <v>0</v>
      </c>
      <c r="G66" s="35">
        <f t="shared" si="25"/>
        <v>0</v>
      </c>
      <c r="H66" s="35">
        <f t="shared" si="25"/>
        <v>0</v>
      </c>
      <c r="I66" s="35">
        <f t="shared" si="25"/>
        <v>0</v>
      </c>
      <c r="J66" s="35">
        <f t="shared" si="25"/>
        <v>0</v>
      </c>
      <c r="K66" s="35">
        <f t="shared" si="25"/>
        <v>0</v>
      </c>
      <c r="L66" s="35">
        <f t="shared" si="25"/>
        <v>0</v>
      </c>
      <c r="M66" s="35">
        <f t="shared" si="25"/>
        <v>0</v>
      </c>
      <c r="N66" s="35">
        <f t="shared" si="25"/>
        <v>0</v>
      </c>
      <c r="O66" s="35">
        <f t="shared" si="25"/>
        <v>0</v>
      </c>
      <c r="P66" s="35">
        <f t="shared" si="25"/>
        <v>0</v>
      </c>
      <c r="Q66" s="35">
        <f t="shared" si="25"/>
        <v>0</v>
      </c>
      <c r="R66" s="35">
        <f t="shared" si="25"/>
        <v>0</v>
      </c>
      <c r="S66" s="35">
        <f t="shared" si="25"/>
        <v>0</v>
      </c>
      <c r="T66" s="35">
        <f t="shared" si="25"/>
        <v>0</v>
      </c>
      <c r="U66" s="35">
        <f t="shared" si="25"/>
        <v>0</v>
      </c>
      <c r="V66" s="35">
        <f t="shared" si="25"/>
        <v>0</v>
      </c>
      <c r="W66" s="35">
        <f t="shared" si="25"/>
        <v>0</v>
      </c>
      <c r="X66" s="35">
        <f t="shared" si="25"/>
        <v>0</v>
      </c>
      <c r="Y66" s="35">
        <f t="shared" si="25"/>
        <v>0</v>
      </c>
      <c r="Z66" s="35">
        <f t="shared" si="25"/>
        <v>0</v>
      </c>
      <c r="AA66" s="35">
        <f t="shared" si="25"/>
        <v>0</v>
      </c>
      <c r="AB66" s="35">
        <f t="shared" si="25"/>
        <v>0</v>
      </c>
    </row>
    <row r="67" spans="1:28" x14ac:dyDescent="0.25">
      <c r="A67" s="4" t="s">
        <v>389</v>
      </c>
      <c r="B67" s="2" t="s">
        <v>277</v>
      </c>
      <c r="D67" s="36">
        <f>IF(AND(D44&gt;1,D42&lt;Inputs!$C$59*D44),D$4,999)</f>
        <v>999</v>
      </c>
      <c r="E67" s="36">
        <f>IF(AND(E44&gt;1,E42&lt;Inputs!$C$59*E44),E$4,999)</f>
        <v>999</v>
      </c>
      <c r="F67" s="36">
        <f>IF(AND(F44&gt;1,F42&lt;Inputs!$C$59*F44),F$4,999)</f>
        <v>999</v>
      </c>
      <c r="G67" s="36">
        <f>IF(AND(G44&gt;1,G42&lt;Inputs!$C$59*G44),G$4,999)</f>
        <v>999</v>
      </c>
      <c r="H67" s="36">
        <f>IF(AND(H44&gt;1,H42&lt;Inputs!$C$59*H44),H$4,999)</f>
        <v>999</v>
      </c>
      <c r="I67" s="36">
        <f>IF(AND(I44&gt;1,I42&lt;Inputs!$C$59*I44),I$4,999)</f>
        <v>999</v>
      </c>
      <c r="J67" s="36">
        <f>IF(AND(J44&gt;1,J42&lt;Inputs!$C$59*J44),J$4,999)</f>
        <v>999</v>
      </c>
      <c r="K67" s="36">
        <f>IF(AND(K44&gt;1,K42&lt;Inputs!$C$59*K44),K$4,999)</f>
        <v>999</v>
      </c>
      <c r="L67" s="36">
        <f>IF(AND(L44&gt;1,L42&lt;Inputs!$C$59*L44),L$4,999)</f>
        <v>999</v>
      </c>
      <c r="M67" s="36">
        <f>IF(AND(M44&gt;1,M42&lt;Inputs!$C$59*M44),M$4,999)</f>
        <v>999</v>
      </c>
      <c r="N67" s="36">
        <f>IF(AND(N44&gt;1,N42&lt;Inputs!$C$59*N44),N$4,999)</f>
        <v>999</v>
      </c>
      <c r="O67" s="36">
        <f>IF(AND(O44&gt;1,O42&lt;Inputs!$C$59*O44),O$4,999)</f>
        <v>999</v>
      </c>
      <c r="P67" s="36">
        <f>IF(AND(P44&gt;1,P42&lt;Inputs!$C$59*P44),P$4,999)</f>
        <v>999</v>
      </c>
      <c r="Q67" s="36">
        <f>IF(AND(Q44&gt;1,Q42&lt;Inputs!$C$59*Q44),Q$4,999)</f>
        <v>999</v>
      </c>
      <c r="R67" s="36">
        <f>IF(AND(R44&gt;1,R42&lt;Inputs!$C$59*R44),R$4,999)</f>
        <v>999</v>
      </c>
      <c r="S67" s="36">
        <f>IF(AND(S44&gt;1,S42&lt;Inputs!$C$59*S44),S$4,999)</f>
        <v>999</v>
      </c>
      <c r="T67" s="36">
        <f>IF(AND(T44&gt;1,T42&lt;Inputs!$C$59*T44),T$4,999)</f>
        <v>999</v>
      </c>
      <c r="U67" s="36">
        <f>IF(AND(U44&gt;1,U42&lt;Inputs!$C$59*U44),U$4,999)</f>
        <v>999</v>
      </c>
      <c r="V67" s="36">
        <f>IF(AND(V44&gt;1,V42&lt;Inputs!$C$59*V44),V$4,999)</f>
        <v>999</v>
      </c>
      <c r="W67" s="36">
        <f>IF(AND(W44&gt;1,W42&lt;Inputs!$C$59*W44),W$4,999)</f>
        <v>999</v>
      </c>
      <c r="X67" s="36">
        <f>IF(AND(X44&gt;1,X42&lt;Inputs!$C$59*X44),X$4,999)</f>
        <v>999</v>
      </c>
      <c r="Y67" s="36">
        <f>IF(AND(Y44&gt;1,Y42&lt;Inputs!$C$59*Y44),Y$4,999)</f>
        <v>999</v>
      </c>
      <c r="Z67" s="36">
        <f>IF(AND(Z44&gt;1,Z42&lt;Inputs!$C$59*Z44),Z$4,999)</f>
        <v>999</v>
      </c>
      <c r="AA67" s="36">
        <f>IF(AND(AA44&gt;1,AA42&lt;Inputs!$C$59*AA44),AA$4,999)</f>
        <v>999</v>
      </c>
      <c r="AB67" s="36">
        <f>IF(AND(AB44&gt;1,AB42&lt;Inputs!$C$59*AB44),AB$4,999)</f>
        <v>999</v>
      </c>
    </row>
    <row r="68" spans="1:28" x14ac:dyDescent="0.25">
      <c r="A68" s="4" t="s">
        <v>390</v>
      </c>
      <c r="B68" s="2" t="s">
        <v>277</v>
      </c>
      <c r="D68" s="36">
        <f t="shared" ref="D68:AB68" si="26">IF(D54&gt;0.5,D$4,999)</f>
        <v>999</v>
      </c>
      <c r="E68" s="36">
        <f t="shared" si="26"/>
        <v>999</v>
      </c>
      <c r="F68" s="36">
        <f t="shared" si="26"/>
        <v>999</v>
      </c>
      <c r="G68" s="36">
        <f t="shared" si="26"/>
        <v>999</v>
      </c>
      <c r="H68" s="36">
        <f t="shared" si="26"/>
        <v>999</v>
      </c>
      <c r="I68" s="36">
        <f t="shared" si="26"/>
        <v>999</v>
      </c>
      <c r="J68" s="36">
        <f t="shared" si="26"/>
        <v>999</v>
      </c>
      <c r="K68" s="36">
        <f t="shared" si="26"/>
        <v>999</v>
      </c>
      <c r="L68" s="36">
        <f t="shared" si="26"/>
        <v>999</v>
      </c>
      <c r="M68" s="36">
        <f t="shared" si="26"/>
        <v>999</v>
      </c>
      <c r="N68" s="36">
        <f t="shared" si="26"/>
        <v>999</v>
      </c>
      <c r="O68" s="36">
        <f t="shared" si="26"/>
        <v>999</v>
      </c>
      <c r="P68" s="36">
        <f t="shared" si="26"/>
        <v>999</v>
      </c>
      <c r="Q68" s="36">
        <f t="shared" si="26"/>
        <v>999</v>
      </c>
      <c r="R68" s="36">
        <f t="shared" si="26"/>
        <v>999</v>
      </c>
      <c r="S68" s="36">
        <f t="shared" si="26"/>
        <v>999</v>
      </c>
      <c r="T68" s="36">
        <f t="shared" si="26"/>
        <v>999</v>
      </c>
      <c r="U68" s="36">
        <f t="shared" si="26"/>
        <v>999</v>
      </c>
      <c r="V68" s="36">
        <f t="shared" si="26"/>
        <v>999</v>
      </c>
      <c r="W68" s="36">
        <f t="shared" si="26"/>
        <v>999</v>
      </c>
      <c r="X68" s="36">
        <f t="shared" si="26"/>
        <v>999</v>
      </c>
      <c r="Y68" s="36">
        <f t="shared" si="26"/>
        <v>999</v>
      </c>
      <c r="Z68" s="36">
        <f t="shared" si="26"/>
        <v>999</v>
      </c>
      <c r="AA68" s="36">
        <f t="shared" si="26"/>
        <v>999</v>
      </c>
      <c r="AB68" s="36">
        <f t="shared" si="26"/>
        <v>999</v>
      </c>
    </row>
    <row r="69" spans="1:28" x14ac:dyDescent="0.25">
      <c r="A69" s="4" t="s">
        <v>391</v>
      </c>
      <c r="B69" s="2" t="s">
        <v>225</v>
      </c>
      <c r="C69" s="5">
        <f>-Inputs!$C$71*Inputs!$C$13</f>
        <v>-4800000</v>
      </c>
      <c r="D69" s="5">
        <f t="shared" ref="D69:AB69" si="27">D36</f>
        <v>311333.03120000003</v>
      </c>
      <c r="E69" s="5">
        <f t="shared" si="27"/>
        <v>311837.66647943994</v>
      </c>
      <c r="F69" s="5">
        <f t="shared" si="27"/>
        <v>312304.72732035542</v>
      </c>
      <c r="G69" s="5">
        <f t="shared" si="27"/>
        <v>312733.2666970077</v>
      </c>
      <c r="H69" s="5">
        <f t="shared" si="27"/>
        <v>313122.31769566605</v>
      </c>
      <c r="I69" s="5">
        <f t="shared" si="27"/>
        <v>313470.89311032923</v>
      </c>
      <c r="J69" s="5">
        <f t="shared" si="27"/>
        <v>313777.98503032618</v>
      </c>
      <c r="K69" s="5">
        <f t="shared" si="27"/>
        <v>314042.56441963301</v>
      </c>
      <c r="L69" s="5">
        <f t="shared" si="27"/>
        <v>314263.5806877407</v>
      </c>
      <c r="M69" s="5">
        <f t="shared" si="27"/>
        <v>314439.96125190315</v>
      </c>
      <c r="N69" s="5">
        <f t="shared" si="27"/>
        <v>314570.61109059543</v>
      </c>
      <c r="O69" s="5">
        <f t="shared" si="27"/>
        <v>314654.41228800401</v>
      </c>
      <c r="P69" s="5">
        <f t="shared" si="27"/>
        <v>314690.22356936987</v>
      </c>
      <c r="Q69" s="5">
        <f t="shared" si="27"/>
        <v>314676.87982700125</v>
      </c>
      <c r="R69" s="5">
        <f t="shared" si="27"/>
        <v>314613.19163676997</v>
      </c>
      <c r="S69" s="5">
        <f t="shared" si="27"/>
        <v>334990.13608422398</v>
      </c>
      <c r="T69" s="5">
        <f t="shared" si="27"/>
        <v>335231.93481056776</v>
      </c>
      <c r="U69" s="5">
        <f t="shared" si="27"/>
        <v>335427.86681275495</v>
      </c>
      <c r="V69" s="5">
        <f t="shared" si="27"/>
        <v>335576.80430631666</v>
      </c>
      <c r="W69" s="5">
        <f t="shared" si="27"/>
        <v>335677.59590201953</v>
      </c>
      <c r="X69" s="5">
        <f t="shared" si="27"/>
        <v>8469.5463494714804</v>
      </c>
      <c r="Y69" s="5">
        <f t="shared" si="27"/>
        <v>4442.4719810478637</v>
      </c>
      <c r="Z69" s="5">
        <f t="shared" si="27"/>
        <v>351.68478643744345</v>
      </c>
      <c r="AA69" s="5">
        <f t="shared" si="27"/>
        <v>-4829.1768100989284</v>
      </c>
      <c r="AB69" s="5">
        <f t="shared" si="27"/>
        <v>-10375.300706925773</v>
      </c>
    </row>
    <row r="70" spans="1:28" x14ac:dyDescent="0.25">
      <c r="A70" s="31" t="s">
        <v>392</v>
      </c>
    </row>
    <row r="71" spans="1:28" x14ac:dyDescent="0.25">
      <c r="A71" s="4" t="s">
        <v>393</v>
      </c>
      <c r="B71" s="2" t="s">
        <v>225</v>
      </c>
      <c r="D71" s="5">
        <f>D64*(1-Inputs!$C$41)</f>
        <v>37669.276260000021</v>
      </c>
      <c r="E71" s="5">
        <f>E64*(1-Inputs!$C$41)</f>
        <v>37893.78514650961</v>
      </c>
      <c r="F71" s="5">
        <f>F64*(1-Inputs!$C$41)</f>
        <v>38119.632105982826</v>
      </c>
      <c r="G71" s="5">
        <f>G64*(1-Inputs!$C$41)</f>
        <v>38346.825113334467</v>
      </c>
      <c r="H71" s="5">
        <f>H64*(1-Inputs!$C$41)</f>
        <v>38575.372191009941</v>
      </c>
      <c r="I71" s="5">
        <f>I64*(1-Inputs!$C$41)</f>
        <v>38805.281409268362</v>
      </c>
      <c r="J71" s="5">
        <f>J64*(1-Inputs!$C$41)</f>
        <v>39036.560886467625</v>
      </c>
      <c r="K71" s="5">
        <f>K64*(1-Inputs!$C$41)</f>
        <v>39269.218789350925</v>
      </c>
      <c r="L71" s="5">
        <f>L64*(1-Inputs!$C$41)</f>
        <v>39503.263333335526</v>
      </c>
      <c r="M71" s="5">
        <f>M64*(1-Inputs!$C$41)</f>
        <v>39738.702782802124</v>
      </c>
      <c r="N71" s="5">
        <f>N64*(1-Inputs!$C$41)</f>
        <v>39975.545451387661</v>
      </c>
      <c r="O71" s="5">
        <f>O64*(1-Inputs!$C$41)</f>
        <v>40213.799702277938</v>
      </c>
      <c r="P71" s="5">
        <f>P64*(1-Inputs!$C$41)</f>
        <v>40453.473948503539</v>
      </c>
      <c r="Q71" s="5">
        <f>Q64*(1-Inputs!$C$41)</f>
        <v>40694.576653236581</v>
      </c>
      <c r="R71" s="5">
        <f>R64*(1-Inputs!$C$41)</f>
        <v>40937.116330089899</v>
      </c>
      <c r="S71" s="5">
        <f>S64*(1-Inputs!$C$41)</f>
        <v>41181.101543417157</v>
      </c>
      <c r="T71" s="5">
        <f>T64*(1-Inputs!$C$41)</f>
        <v>41426.540908616</v>
      </c>
      <c r="U71" s="5">
        <f>U64*(1-Inputs!$C$41)</f>
        <v>41673.443092431415</v>
      </c>
      <c r="V71" s="5">
        <f>V64*(1-Inputs!$C$41)</f>
        <v>41921.816813262267</v>
      </c>
      <c r="W71" s="5">
        <f>W64*(1-Inputs!$C$41)</f>
        <v>42171.670841469262</v>
      </c>
      <c r="X71" s="5">
        <f>X64*(1-Inputs!$C$41)</f>
        <v>0</v>
      </c>
      <c r="Y71" s="5">
        <f>Y64*(1-Inputs!$C$41)</f>
        <v>0</v>
      </c>
      <c r="Z71" s="5">
        <f>Z64*(1-Inputs!$C$41)</f>
        <v>0</v>
      </c>
      <c r="AA71" s="5">
        <f>AA64*(1-Inputs!$C$41)</f>
        <v>0</v>
      </c>
      <c r="AB71" s="5">
        <f>AB64*(1-Inputs!$C$41)</f>
        <v>0</v>
      </c>
    </row>
    <row r="72" spans="1:28" x14ac:dyDescent="0.25">
      <c r="A72" s="4" t="s">
        <v>394</v>
      </c>
      <c r="B72" s="2" t="s">
        <v>225</v>
      </c>
      <c r="C72" s="5">
        <f>C63</f>
        <v>-3106352.7829650622</v>
      </c>
      <c r="D72" s="5">
        <f t="shared" ref="D72:AB72" si="28">D63+D71</f>
        <v>175655.94641504972</v>
      </c>
      <c r="E72" s="5">
        <f t="shared" si="28"/>
        <v>175753.53627190864</v>
      </c>
      <c r="F72" s="5">
        <f t="shared" si="28"/>
        <v>174714.2490132495</v>
      </c>
      <c r="G72" s="5">
        <f t="shared" si="28"/>
        <v>173445.48962248489</v>
      </c>
      <c r="H72" s="5">
        <f t="shared" si="28"/>
        <v>172013.50395869033</v>
      </c>
      <c r="I72" s="5">
        <f t="shared" si="28"/>
        <v>170409.18190837509</v>
      </c>
      <c r="J72" s="5">
        <f t="shared" si="28"/>
        <v>168622.86418792413</v>
      </c>
      <c r="K72" s="5">
        <f t="shared" si="28"/>
        <v>166644.30756982008</v>
      </c>
      <c r="L72" s="5">
        <f t="shared" si="28"/>
        <v>164462.64786744898</v>
      </c>
      <c r="M72" s="5">
        <f t="shared" si="28"/>
        <v>162066.36053317453</v>
      </c>
      <c r="N72" s="5">
        <f t="shared" si="28"/>
        <v>159443.21871493518</v>
      </c>
      <c r="O72" s="5">
        <f t="shared" si="28"/>
        <v>156580.24860655819</v>
      </c>
      <c r="P72" s="5">
        <f t="shared" si="28"/>
        <v>153463.6819162899</v>
      </c>
      <c r="Q72" s="5">
        <f t="shared" si="28"/>
        <v>150078.90526663366</v>
      </c>
      <c r="R72" s="5">
        <f t="shared" si="28"/>
        <v>252763.18929151617</v>
      </c>
      <c r="S72" s="5">
        <f t="shared" si="28"/>
        <v>376171.23762764112</v>
      </c>
      <c r="T72" s="5">
        <f t="shared" si="28"/>
        <v>376658.47571918374</v>
      </c>
      <c r="U72" s="5">
        <f t="shared" si="28"/>
        <v>377101.30990518635</v>
      </c>
      <c r="V72" s="5">
        <f t="shared" si="28"/>
        <v>377498.62111957895</v>
      </c>
      <c r="W72" s="5">
        <f t="shared" si="28"/>
        <v>377849.26674348878</v>
      </c>
      <c r="X72" s="5">
        <f t="shared" si="28"/>
        <v>8469.5463494714804</v>
      </c>
      <c r="Y72" s="5">
        <f t="shared" si="28"/>
        <v>4442.4719810478637</v>
      </c>
      <c r="Z72" s="5">
        <f t="shared" si="28"/>
        <v>351.68478643744345</v>
      </c>
      <c r="AA72" s="5">
        <f t="shared" si="28"/>
        <v>-4829.1768100989284</v>
      </c>
      <c r="AB72" s="5">
        <f t="shared" si="28"/>
        <v>-10375.300706925773</v>
      </c>
    </row>
    <row r="73" spans="1:28" x14ac:dyDescent="0.25">
      <c r="A73" s="4" t="s">
        <v>395</v>
      </c>
      <c r="B73" s="2" t="s">
        <v>225</v>
      </c>
      <c r="C73" s="5">
        <f>C69</f>
        <v>-4800000</v>
      </c>
      <c r="D73" s="5">
        <f t="shared" ref="D73:AB73" si="29">D69+D71</f>
        <v>349002.30746000004</v>
      </c>
      <c r="E73" s="5">
        <f t="shared" si="29"/>
        <v>349731.45162594953</v>
      </c>
      <c r="F73" s="5">
        <f t="shared" si="29"/>
        <v>350424.35942633823</v>
      </c>
      <c r="G73" s="5">
        <f t="shared" si="29"/>
        <v>351080.09181034216</v>
      </c>
      <c r="H73" s="5">
        <f t="shared" si="29"/>
        <v>351697.68988667597</v>
      </c>
      <c r="I73" s="5">
        <f t="shared" si="29"/>
        <v>352276.17451959761</v>
      </c>
      <c r="J73" s="5">
        <f t="shared" si="29"/>
        <v>352814.54591679381</v>
      </c>
      <c r="K73" s="5">
        <f t="shared" si="29"/>
        <v>353311.78320898395</v>
      </c>
      <c r="L73" s="5">
        <f t="shared" si="29"/>
        <v>353766.84402107622</v>
      </c>
      <c r="M73" s="5">
        <f t="shared" si="29"/>
        <v>354178.66403470526</v>
      </c>
      <c r="N73" s="5">
        <f t="shared" si="29"/>
        <v>354546.15654198307</v>
      </c>
      <c r="O73" s="5">
        <f t="shared" si="29"/>
        <v>354868.21199028194</v>
      </c>
      <c r="P73" s="5">
        <f t="shared" si="29"/>
        <v>355143.69751787343</v>
      </c>
      <c r="Q73" s="5">
        <f t="shared" si="29"/>
        <v>355371.45648023783</v>
      </c>
      <c r="R73" s="5">
        <f t="shared" si="29"/>
        <v>355550.30796685989</v>
      </c>
      <c r="S73" s="5">
        <f t="shared" si="29"/>
        <v>376171.23762764112</v>
      </c>
      <c r="T73" s="5">
        <f t="shared" si="29"/>
        <v>376658.47571918374</v>
      </c>
      <c r="U73" s="5">
        <f t="shared" si="29"/>
        <v>377101.30990518635</v>
      </c>
      <c r="V73" s="5">
        <f t="shared" si="29"/>
        <v>377498.62111957895</v>
      </c>
      <c r="W73" s="5">
        <f t="shared" si="29"/>
        <v>377849.26674348878</v>
      </c>
      <c r="X73" s="5">
        <f t="shared" si="29"/>
        <v>8469.5463494714804</v>
      </c>
      <c r="Y73" s="5">
        <f t="shared" si="29"/>
        <v>4442.4719810478637</v>
      </c>
      <c r="Z73" s="5">
        <f t="shared" si="29"/>
        <v>351.68478643744345</v>
      </c>
      <c r="AA73" s="5">
        <f t="shared" si="29"/>
        <v>-4829.1768100989284</v>
      </c>
      <c r="AB73" s="5">
        <f t="shared" si="29"/>
        <v>-10375.300706925773</v>
      </c>
    </row>
    <row r="74" spans="1:28" x14ac:dyDescent="0.25">
      <c r="A74" s="4" t="s">
        <v>396</v>
      </c>
      <c r="B74" s="2" t="s">
        <v>225</v>
      </c>
      <c r="C74" s="5">
        <f>C73</f>
        <v>-4800000</v>
      </c>
      <c r="D74" s="5">
        <f t="shared" ref="D74:AB74" si="30">C74+D73</f>
        <v>-4450997.6925400002</v>
      </c>
      <c r="E74" s="5">
        <f t="shared" si="30"/>
        <v>-4101266.2409140505</v>
      </c>
      <c r="F74" s="5">
        <f t="shared" si="30"/>
        <v>-3750841.8814877123</v>
      </c>
      <c r="G74" s="5">
        <f t="shared" si="30"/>
        <v>-3399761.7896773703</v>
      </c>
      <c r="H74" s="5">
        <f t="shared" si="30"/>
        <v>-3048064.0997906942</v>
      </c>
      <c r="I74" s="5">
        <f t="shared" si="30"/>
        <v>-2695787.9252710966</v>
      </c>
      <c r="J74" s="5">
        <f t="shared" si="30"/>
        <v>-2342973.3793543028</v>
      </c>
      <c r="K74" s="5">
        <f t="shared" si="30"/>
        <v>-1989661.5961453188</v>
      </c>
      <c r="L74" s="5">
        <f t="shared" si="30"/>
        <v>-1635894.7521242425</v>
      </c>
      <c r="M74" s="5">
        <f t="shared" si="30"/>
        <v>-1281716.0880895373</v>
      </c>
      <c r="N74" s="5">
        <f t="shared" si="30"/>
        <v>-927169.93154755421</v>
      </c>
      <c r="O74" s="5">
        <f t="shared" si="30"/>
        <v>-572301.71955727227</v>
      </c>
      <c r="P74" s="5">
        <f t="shared" si="30"/>
        <v>-217158.02203939884</v>
      </c>
      <c r="Q74" s="5">
        <f t="shared" si="30"/>
        <v>138213.43444083899</v>
      </c>
      <c r="R74" s="5">
        <f t="shared" si="30"/>
        <v>493763.74240769888</v>
      </c>
      <c r="S74" s="5">
        <f t="shared" si="30"/>
        <v>869934.98003533995</v>
      </c>
      <c r="T74" s="5">
        <f t="shared" si="30"/>
        <v>1246593.4557545236</v>
      </c>
      <c r="U74" s="5">
        <f t="shared" si="30"/>
        <v>1623694.7656597099</v>
      </c>
      <c r="V74" s="5">
        <f t="shared" si="30"/>
        <v>2001193.3867792888</v>
      </c>
      <c r="W74" s="5">
        <f t="shared" si="30"/>
        <v>2379042.6535227774</v>
      </c>
      <c r="X74" s="5">
        <f t="shared" si="30"/>
        <v>2387512.1998722488</v>
      </c>
      <c r="Y74" s="5">
        <f t="shared" si="30"/>
        <v>2391954.6718532965</v>
      </c>
      <c r="Z74" s="5">
        <f t="shared" si="30"/>
        <v>2392306.356639734</v>
      </c>
      <c r="AA74" s="5">
        <f t="shared" si="30"/>
        <v>2387477.1798296352</v>
      </c>
      <c r="AB74" s="5">
        <f t="shared" si="30"/>
        <v>2377101.8791227094</v>
      </c>
    </row>
    <row r="75" spans="1:28" x14ac:dyDescent="0.25">
      <c r="A75" s="4" t="s">
        <v>397</v>
      </c>
      <c r="B75" s="2" t="s">
        <v>277</v>
      </c>
      <c r="D75" s="36">
        <f t="shared" ref="D75:AB75" si="31">IF(AND(D74&gt;=0,C74&lt;0),D$4,999)</f>
        <v>999</v>
      </c>
      <c r="E75" s="36">
        <f t="shared" si="31"/>
        <v>999</v>
      </c>
      <c r="F75" s="36">
        <f t="shared" si="31"/>
        <v>999</v>
      </c>
      <c r="G75" s="36">
        <f t="shared" si="31"/>
        <v>999</v>
      </c>
      <c r="H75" s="36">
        <f t="shared" si="31"/>
        <v>999</v>
      </c>
      <c r="I75" s="36">
        <f t="shared" si="31"/>
        <v>999</v>
      </c>
      <c r="J75" s="36">
        <f t="shared" si="31"/>
        <v>999</v>
      </c>
      <c r="K75" s="36">
        <f t="shared" si="31"/>
        <v>999</v>
      </c>
      <c r="L75" s="36">
        <f t="shared" si="31"/>
        <v>999</v>
      </c>
      <c r="M75" s="36">
        <f t="shared" si="31"/>
        <v>999</v>
      </c>
      <c r="N75" s="36">
        <f t="shared" si="31"/>
        <v>999</v>
      </c>
      <c r="O75" s="36">
        <f t="shared" si="31"/>
        <v>999</v>
      </c>
      <c r="P75" s="36">
        <f t="shared" si="31"/>
        <v>999</v>
      </c>
      <c r="Q75" s="36">
        <f t="shared" si="31"/>
        <v>14</v>
      </c>
      <c r="R75" s="36">
        <f t="shared" si="31"/>
        <v>999</v>
      </c>
      <c r="S75" s="36">
        <f t="shared" si="31"/>
        <v>999</v>
      </c>
      <c r="T75" s="36">
        <f t="shared" si="31"/>
        <v>999</v>
      </c>
      <c r="U75" s="36">
        <f t="shared" si="31"/>
        <v>999</v>
      </c>
      <c r="V75" s="36">
        <f t="shared" si="31"/>
        <v>999</v>
      </c>
      <c r="W75" s="36">
        <f t="shared" si="31"/>
        <v>999</v>
      </c>
      <c r="X75" s="36">
        <f t="shared" si="31"/>
        <v>999</v>
      </c>
      <c r="Y75" s="36">
        <f t="shared" si="31"/>
        <v>999</v>
      </c>
      <c r="Z75" s="36">
        <f t="shared" si="31"/>
        <v>999</v>
      </c>
      <c r="AA75" s="36">
        <f t="shared" si="31"/>
        <v>999</v>
      </c>
      <c r="AB75" s="36">
        <f t="shared" si="31"/>
        <v>999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75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46" customWidth="1"/>
    <col min="2" max="2" width="11" customWidth="1"/>
    <col min="3" max="28" width="10.42578125" customWidth="1"/>
  </cols>
  <sheetData>
    <row r="1" spans="1:28" ht="16.5" x14ac:dyDescent="0.25">
      <c r="A1" s="1" t="s">
        <v>398</v>
      </c>
    </row>
    <row r="2" spans="1:28" x14ac:dyDescent="0.25">
      <c r="A2" s="2" t="s">
        <v>330</v>
      </c>
    </row>
    <row r="4" spans="1:28" x14ac:dyDescent="0.25">
      <c r="A4" s="3" t="s">
        <v>310</v>
      </c>
      <c r="C4" s="29">
        <v>0</v>
      </c>
      <c r="D4" s="29">
        <v>1</v>
      </c>
      <c r="E4" s="29">
        <v>2</v>
      </c>
      <c r="F4" s="29">
        <v>3</v>
      </c>
      <c r="G4" s="29">
        <v>4</v>
      </c>
      <c r="H4" s="29">
        <v>5</v>
      </c>
      <c r="I4" s="29">
        <v>6</v>
      </c>
      <c r="J4" s="29">
        <v>7</v>
      </c>
      <c r="K4" s="29">
        <v>8</v>
      </c>
      <c r="L4" s="29">
        <v>9</v>
      </c>
      <c r="M4" s="29">
        <v>10</v>
      </c>
      <c r="N4" s="29">
        <v>11</v>
      </c>
      <c r="O4" s="29">
        <v>12</v>
      </c>
      <c r="P4" s="29">
        <v>13</v>
      </c>
      <c r="Q4" s="29">
        <v>14</v>
      </c>
      <c r="R4" s="29">
        <v>15</v>
      </c>
      <c r="S4" s="29">
        <v>16</v>
      </c>
      <c r="T4" s="29">
        <v>17</v>
      </c>
      <c r="U4" s="29">
        <v>18</v>
      </c>
      <c r="V4" s="29">
        <v>19</v>
      </c>
      <c r="W4" s="29">
        <v>20</v>
      </c>
      <c r="X4" s="29">
        <v>21</v>
      </c>
      <c r="Y4" s="29">
        <v>22</v>
      </c>
      <c r="Z4" s="29">
        <v>23</v>
      </c>
      <c r="AA4" s="29">
        <v>24</v>
      </c>
      <c r="AB4" s="29">
        <v>25</v>
      </c>
    </row>
    <row r="5" spans="1:28" x14ac:dyDescent="0.25">
      <c r="A5" s="31" t="s">
        <v>331</v>
      </c>
    </row>
    <row r="6" spans="1:28" x14ac:dyDescent="0.25">
      <c r="A6" s="4" t="s">
        <v>332</v>
      </c>
      <c r="B6" s="2" t="s">
        <v>313</v>
      </c>
      <c r="D6" s="7">
        <f>IF(AND(D$4&gt;=1,D$4&lt;=Inputs!$C$12),1,0)</f>
        <v>1</v>
      </c>
      <c r="E6" s="7">
        <f>IF(AND(E$4&gt;=1,E$4&lt;=Inputs!$C$12),1,0)</f>
        <v>1</v>
      </c>
      <c r="F6" s="7">
        <f>IF(AND(F$4&gt;=1,F$4&lt;=Inputs!$C$12),1,0)</f>
        <v>1</v>
      </c>
      <c r="G6" s="7">
        <f>IF(AND(G$4&gt;=1,G$4&lt;=Inputs!$C$12),1,0)</f>
        <v>1</v>
      </c>
      <c r="H6" s="7">
        <f>IF(AND(H$4&gt;=1,H$4&lt;=Inputs!$C$12),1,0)</f>
        <v>1</v>
      </c>
      <c r="I6" s="7">
        <f>IF(AND(I$4&gt;=1,I$4&lt;=Inputs!$C$12),1,0)</f>
        <v>1</v>
      </c>
      <c r="J6" s="7">
        <f>IF(AND(J$4&gt;=1,J$4&lt;=Inputs!$C$12),1,0)</f>
        <v>1</v>
      </c>
      <c r="K6" s="7">
        <f>IF(AND(K$4&gt;=1,K$4&lt;=Inputs!$C$12),1,0)</f>
        <v>1</v>
      </c>
      <c r="L6" s="7">
        <f>IF(AND(L$4&gt;=1,L$4&lt;=Inputs!$C$12),1,0)</f>
        <v>1</v>
      </c>
      <c r="M6" s="7">
        <f>IF(AND(M$4&gt;=1,M$4&lt;=Inputs!$C$12),1,0)</f>
        <v>1</v>
      </c>
      <c r="N6" s="7">
        <f>IF(AND(N$4&gt;=1,N$4&lt;=Inputs!$C$12),1,0)</f>
        <v>1</v>
      </c>
      <c r="O6" s="7">
        <f>IF(AND(O$4&gt;=1,O$4&lt;=Inputs!$C$12),1,0)</f>
        <v>1</v>
      </c>
      <c r="P6" s="7">
        <f>IF(AND(P$4&gt;=1,P$4&lt;=Inputs!$C$12),1,0)</f>
        <v>1</v>
      </c>
      <c r="Q6" s="7">
        <f>IF(AND(Q$4&gt;=1,Q$4&lt;=Inputs!$C$12),1,0)</f>
        <v>1</v>
      </c>
      <c r="R6" s="7">
        <f>IF(AND(R$4&gt;=1,R$4&lt;=Inputs!$C$12),1,0)</f>
        <v>1</v>
      </c>
      <c r="S6" s="7">
        <f>IF(AND(S$4&gt;=1,S$4&lt;=Inputs!$C$12),1,0)</f>
        <v>1</v>
      </c>
      <c r="T6" s="7">
        <f>IF(AND(T$4&gt;=1,T$4&lt;=Inputs!$C$12),1,0)</f>
        <v>1</v>
      </c>
      <c r="U6" s="7">
        <f>IF(AND(U$4&gt;=1,U$4&lt;=Inputs!$C$12),1,0)</f>
        <v>1</v>
      </c>
      <c r="V6" s="7">
        <f>IF(AND(V$4&gt;=1,V$4&lt;=Inputs!$C$12),1,0)</f>
        <v>1</v>
      </c>
      <c r="W6" s="7">
        <f>IF(AND(W$4&gt;=1,W$4&lt;=Inputs!$C$12),1,0)</f>
        <v>1</v>
      </c>
      <c r="X6" s="7">
        <f>IF(AND(X$4&gt;=1,X$4&lt;=Inputs!$C$12),1,0)</f>
        <v>1</v>
      </c>
      <c r="Y6" s="7">
        <f>IF(AND(Y$4&gt;=1,Y$4&lt;=Inputs!$C$12),1,0)</f>
        <v>1</v>
      </c>
      <c r="Z6" s="7">
        <f>IF(AND(Z$4&gt;=1,Z$4&lt;=Inputs!$C$12),1,0)</f>
        <v>1</v>
      </c>
      <c r="AA6" s="7">
        <f>IF(AND(AA$4&gt;=1,AA$4&lt;=Inputs!$C$12),1,0)</f>
        <v>1</v>
      </c>
      <c r="AB6" s="7">
        <f>IF(AND(AB$4&gt;=1,AB$4&lt;=Inputs!$C$12),1,0)</f>
        <v>1</v>
      </c>
    </row>
    <row r="7" spans="1:28" x14ac:dyDescent="0.25">
      <c r="A7" s="4" t="s">
        <v>331</v>
      </c>
      <c r="B7" s="2" t="s">
        <v>333</v>
      </c>
      <c r="D7" s="5">
        <f>D6*Inputs!$C$71*Inputs!$C$8*1*Inputs!$C$10*(1-Inputs!$C$11)^(D$4-1)/1000</f>
        <v>5940</v>
      </c>
      <c r="E7" s="5">
        <f>E6*Inputs!$C$71*Inputs!$C$8*1*Inputs!$C$10*(1-Inputs!$C$11)^(E$4-1)/1000</f>
        <v>5916.24</v>
      </c>
      <c r="F7" s="5">
        <f>F6*Inputs!$C$71*Inputs!$C$8*1*Inputs!$C$10*(1-Inputs!$C$11)^(F$4-1)/1000</f>
        <v>5892.5750399999997</v>
      </c>
      <c r="G7" s="5">
        <f>G6*Inputs!$C$71*Inputs!$C$8*1*Inputs!$C$10*(1-Inputs!$C$11)^(G$4-1)/1000</f>
        <v>5869.0047398400002</v>
      </c>
      <c r="H7" s="5">
        <f>H6*Inputs!$C$71*Inputs!$C$8*1*Inputs!$C$10*(1-Inputs!$C$11)^(H$4-1)/1000</f>
        <v>5845.5287208806394</v>
      </c>
      <c r="I7" s="5">
        <f>I6*Inputs!$C$71*Inputs!$C$8*1*Inputs!$C$10*(1-Inputs!$C$11)^(I$4-1)/1000</f>
        <v>5822.1466059971171</v>
      </c>
      <c r="J7" s="5">
        <f>J6*Inputs!$C$71*Inputs!$C$8*1*Inputs!$C$10*(1-Inputs!$C$11)^(J$4-1)/1000</f>
        <v>5798.8580195731283</v>
      </c>
      <c r="K7" s="5">
        <f>K6*Inputs!$C$71*Inputs!$C$8*1*Inputs!$C$10*(1-Inputs!$C$11)^(K$4-1)/1000</f>
        <v>5775.6625874948359</v>
      </c>
      <c r="L7" s="5">
        <f>L6*Inputs!$C$71*Inputs!$C$8*1*Inputs!$C$10*(1-Inputs!$C$11)^(L$4-1)/1000</f>
        <v>5752.559937144857</v>
      </c>
      <c r="M7" s="5">
        <f>M6*Inputs!$C$71*Inputs!$C$8*1*Inputs!$C$10*(1-Inputs!$C$11)^(M$4-1)/1000</f>
        <v>5729.5496973962781</v>
      </c>
      <c r="N7" s="5">
        <f>N6*Inputs!$C$71*Inputs!$C$8*1*Inputs!$C$10*(1-Inputs!$C$11)^(N$4-1)/1000</f>
        <v>5706.6314986066927</v>
      </c>
      <c r="O7" s="5">
        <f>O6*Inputs!$C$71*Inputs!$C$8*1*Inputs!$C$10*(1-Inputs!$C$11)^(O$4-1)/1000</f>
        <v>5683.8049726122654</v>
      </c>
      <c r="P7" s="5">
        <f>P6*Inputs!$C$71*Inputs!$C$8*1*Inputs!$C$10*(1-Inputs!$C$11)^(P$4-1)/1000</f>
        <v>5661.0697527218163</v>
      </c>
      <c r="Q7" s="5">
        <f>Q6*Inputs!$C$71*Inputs!$C$8*1*Inputs!$C$10*(1-Inputs!$C$11)^(Q$4-1)/1000</f>
        <v>5638.4254737109304</v>
      </c>
      <c r="R7" s="5">
        <f>R6*Inputs!$C$71*Inputs!$C$8*1*Inputs!$C$10*(1-Inputs!$C$11)^(R$4-1)/1000</f>
        <v>5615.871771816086</v>
      </c>
      <c r="S7" s="5">
        <f>S6*Inputs!$C$71*Inputs!$C$8*1*Inputs!$C$10*(1-Inputs!$C$11)^(S$4-1)/1000</f>
        <v>5593.4082847288209</v>
      </c>
      <c r="T7" s="5">
        <f>T6*Inputs!$C$71*Inputs!$C$8*1*Inputs!$C$10*(1-Inputs!$C$11)^(T$4-1)/1000</f>
        <v>5571.0346515899064</v>
      </c>
      <c r="U7" s="5">
        <f>U6*Inputs!$C$71*Inputs!$C$8*1*Inputs!$C$10*(1-Inputs!$C$11)^(U$4-1)/1000</f>
        <v>5548.7505129835463</v>
      </c>
      <c r="V7" s="5">
        <f>V6*Inputs!$C$71*Inputs!$C$8*1*Inputs!$C$10*(1-Inputs!$C$11)^(V$4-1)/1000</f>
        <v>5526.5555109316128</v>
      </c>
      <c r="W7" s="5">
        <f>W6*Inputs!$C$71*Inputs!$C$8*1*Inputs!$C$10*(1-Inputs!$C$11)^(W$4-1)/1000</f>
        <v>5504.4492888878858</v>
      </c>
      <c r="X7" s="5">
        <f>X6*Inputs!$C$71*Inputs!$C$8*1*Inputs!$C$10*(1-Inputs!$C$11)^(X$4-1)/1000</f>
        <v>5482.4314917323345</v>
      </c>
      <c r="Y7" s="5">
        <f>Y6*Inputs!$C$71*Inputs!$C$8*1*Inputs!$C$10*(1-Inputs!$C$11)^(Y$4-1)/1000</f>
        <v>5460.5017657654053</v>
      </c>
      <c r="Z7" s="5">
        <f>Z6*Inputs!$C$71*Inputs!$C$8*1*Inputs!$C$10*(1-Inputs!$C$11)^(Z$4-1)/1000</f>
        <v>5438.6597587023443</v>
      </c>
      <c r="AA7" s="5">
        <f>AA6*Inputs!$C$71*Inputs!$C$8*1*Inputs!$C$10*(1-Inputs!$C$11)^(AA$4-1)/1000</f>
        <v>5416.9051196675346</v>
      </c>
      <c r="AB7" s="5">
        <f>AB6*Inputs!$C$71*Inputs!$C$8*1*Inputs!$C$10*(1-Inputs!$C$11)^(AB$4-1)/1000</f>
        <v>5395.2374991888637</v>
      </c>
    </row>
    <row r="8" spans="1:28" x14ac:dyDescent="0.25">
      <c r="A8" s="4" t="s">
        <v>334</v>
      </c>
      <c r="B8" s="2" t="s">
        <v>335</v>
      </c>
      <c r="D8" s="32">
        <f t="shared" ref="D8:AB8" si="0">D6*(0)</f>
        <v>0</v>
      </c>
      <c r="E8" s="32">
        <f t="shared" si="0"/>
        <v>0</v>
      </c>
      <c r="F8" s="32">
        <f t="shared" si="0"/>
        <v>0</v>
      </c>
      <c r="G8" s="32">
        <f t="shared" si="0"/>
        <v>0</v>
      </c>
      <c r="H8" s="32">
        <f t="shared" si="0"/>
        <v>0</v>
      </c>
      <c r="I8" s="32">
        <f t="shared" si="0"/>
        <v>0</v>
      </c>
      <c r="J8" s="32">
        <f t="shared" si="0"/>
        <v>0</v>
      </c>
      <c r="K8" s="32">
        <f t="shared" si="0"/>
        <v>0</v>
      </c>
      <c r="L8" s="32">
        <f t="shared" si="0"/>
        <v>0</v>
      </c>
      <c r="M8" s="32">
        <f t="shared" si="0"/>
        <v>0</v>
      </c>
      <c r="N8" s="32">
        <f t="shared" si="0"/>
        <v>0</v>
      </c>
      <c r="O8" s="32">
        <f t="shared" si="0"/>
        <v>0</v>
      </c>
      <c r="P8" s="32">
        <f t="shared" si="0"/>
        <v>0</v>
      </c>
      <c r="Q8" s="32">
        <f t="shared" si="0"/>
        <v>0</v>
      </c>
      <c r="R8" s="32">
        <f t="shared" si="0"/>
        <v>0</v>
      </c>
      <c r="S8" s="32">
        <f t="shared" si="0"/>
        <v>0</v>
      </c>
      <c r="T8" s="32">
        <f t="shared" si="0"/>
        <v>0</v>
      </c>
      <c r="U8" s="32">
        <f t="shared" si="0"/>
        <v>0</v>
      </c>
      <c r="V8" s="32">
        <f t="shared" si="0"/>
        <v>0</v>
      </c>
      <c r="W8" s="32">
        <f t="shared" si="0"/>
        <v>0</v>
      </c>
      <c r="X8" s="32">
        <f t="shared" si="0"/>
        <v>0</v>
      </c>
      <c r="Y8" s="32">
        <f t="shared" si="0"/>
        <v>0</v>
      </c>
      <c r="Z8" s="32">
        <f t="shared" si="0"/>
        <v>0</v>
      </c>
      <c r="AA8" s="32">
        <f t="shared" si="0"/>
        <v>0</v>
      </c>
      <c r="AB8" s="32">
        <f t="shared" si="0"/>
        <v>0</v>
      </c>
    </row>
    <row r="9" spans="1:28" x14ac:dyDescent="0.25">
      <c r="A9" s="4" t="s">
        <v>336</v>
      </c>
      <c r="B9" s="2" t="s">
        <v>333</v>
      </c>
      <c r="D9" s="5">
        <f>D7*D8*Inputs!$C$15</f>
        <v>0</v>
      </c>
      <c r="E9" s="5">
        <f>E7*E8*Inputs!$C$15</f>
        <v>0</v>
      </c>
      <c r="F9" s="5">
        <f>F7*F8*Inputs!$C$15</f>
        <v>0</v>
      </c>
      <c r="G9" s="5">
        <f>G7*G8*Inputs!$C$15</f>
        <v>0</v>
      </c>
      <c r="H9" s="5">
        <f>H7*H8*Inputs!$C$15</f>
        <v>0</v>
      </c>
      <c r="I9" s="5">
        <f>I7*I8*Inputs!$C$15</f>
        <v>0</v>
      </c>
      <c r="J9" s="5">
        <f>J7*J8*Inputs!$C$15</f>
        <v>0</v>
      </c>
      <c r="K9" s="5">
        <f>K7*K8*Inputs!$C$15</f>
        <v>0</v>
      </c>
      <c r="L9" s="5">
        <f>L7*L8*Inputs!$C$15</f>
        <v>0</v>
      </c>
      <c r="M9" s="5">
        <f>M7*M8*Inputs!$C$15</f>
        <v>0</v>
      </c>
      <c r="N9" s="5">
        <f>N7*N8*Inputs!$C$15</f>
        <v>0</v>
      </c>
      <c r="O9" s="5">
        <f>O7*O8*Inputs!$C$15</f>
        <v>0</v>
      </c>
      <c r="P9" s="5">
        <f>P7*P8*Inputs!$C$15</f>
        <v>0</v>
      </c>
      <c r="Q9" s="5">
        <f>Q7*Q8*Inputs!$C$15</f>
        <v>0</v>
      </c>
      <c r="R9" s="5">
        <f>R7*R8*Inputs!$C$15</f>
        <v>0</v>
      </c>
      <c r="S9" s="5">
        <f>S7*S8*Inputs!$C$15</f>
        <v>0</v>
      </c>
      <c r="T9" s="5">
        <f>T7*T8*Inputs!$C$15</f>
        <v>0</v>
      </c>
      <c r="U9" s="5">
        <f>U7*U8*Inputs!$C$15</f>
        <v>0</v>
      </c>
      <c r="V9" s="5">
        <f>V7*V8*Inputs!$C$15</f>
        <v>0</v>
      </c>
      <c r="W9" s="5">
        <f>W7*W8*Inputs!$C$15</f>
        <v>0</v>
      </c>
      <c r="X9" s="5">
        <f>X7*X8*Inputs!$C$15</f>
        <v>0</v>
      </c>
      <c r="Y9" s="5">
        <f>Y7*Y8*Inputs!$C$15</f>
        <v>0</v>
      </c>
      <c r="Z9" s="5">
        <f>Z7*Z8*Inputs!$C$15</f>
        <v>0</v>
      </c>
      <c r="AA9" s="5">
        <f>AA7*AA8*Inputs!$C$15</f>
        <v>0</v>
      </c>
      <c r="AB9" s="5">
        <f>AB7*AB8*Inputs!$C$15</f>
        <v>0</v>
      </c>
    </row>
    <row r="10" spans="1:28" x14ac:dyDescent="0.25">
      <c r="A10" s="4" t="s">
        <v>337</v>
      </c>
      <c r="B10" s="2" t="s">
        <v>333</v>
      </c>
      <c r="D10" s="5">
        <f>D7*D8*(1-Inputs!$C$15)</f>
        <v>0</v>
      </c>
      <c r="E10" s="5">
        <f>E7*E8*(1-Inputs!$C$15)</f>
        <v>0</v>
      </c>
      <c r="F10" s="5">
        <f>F7*F8*(1-Inputs!$C$15)</f>
        <v>0</v>
      </c>
      <c r="G10" s="5">
        <f>G7*G8*(1-Inputs!$C$15)</f>
        <v>0</v>
      </c>
      <c r="H10" s="5">
        <f>H7*H8*(1-Inputs!$C$15)</f>
        <v>0</v>
      </c>
      <c r="I10" s="5">
        <f>I7*I8*(1-Inputs!$C$15)</f>
        <v>0</v>
      </c>
      <c r="J10" s="5">
        <f>J7*J8*(1-Inputs!$C$15)</f>
        <v>0</v>
      </c>
      <c r="K10" s="5">
        <f>K7*K8*(1-Inputs!$C$15)</f>
        <v>0</v>
      </c>
      <c r="L10" s="5">
        <f>L7*L8*(1-Inputs!$C$15)</f>
        <v>0</v>
      </c>
      <c r="M10" s="5">
        <f>M7*M8*(1-Inputs!$C$15)</f>
        <v>0</v>
      </c>
      <c r="N10" s="5">
        <f>N7*N8*(1-Inputs!$C$15)</f>
        <v>0</v>
      </c>
      <c r="O10" s="5">
        <f>O7*O8*(1-Inputs!$C$15)</f>
        <v>0</v>
      </c>
      <c r="P10" s="5">
        <f>P7*P8*(1-Inputs!$C$15)</f>
        <v>0</v>
      </c>
      <c r="Q10" s="5">
        <f>Q7*Q8*(1-Inputs!$C$15)</f>
        <v>0</v>
      </c>
      <c r="R10" s="5">
        <f>R7*R8*(1-Inputs!$C$15)</f>
        <v>0</v>
      </c>
      <c r="S10" s="5">
        <f>S7*S8*(1-Inputs!$C$15)</f>
        <v>0</v>
      </c>
      <c r="T10" s="5">
        <f>T7*T8*(1-Inputs!$C$15)</f>
        <v>0</v>
      </c>
      <c r="U10" s="5">
        <f>U7*U8*(1-Inputs!$C$15)</f>
        <v>0</v>
      </c>
      <c r="V10" s="5">
        <f>V7*V8*(1-Inputs!$C$15)</f>
        <v>0</v>
      </c>
      <c r="W10" s="5">
        <f>W7*W8*(1-Inputs!$C$15)</f>
        <v>0</v>
      </c>
      <c r="X10" s="5">
        <f>X7*X8*(1-Inputs!$C$15)</f>
        <v>0</v>
      </c>
      <c r="Y10" s="5">
        <f>Y7*Y8*(1-Inputs!$C$15)</f>
        <v>0</v>
      </c>
      <c r="Z10" s="5">
        <f>Z7*Z8*(1-Inputs!$C$15)</f>
        <v>0</v>
      </c>
      <c r="AA10" s="5">
        <f>AA7*AA8*(1-Inputs!$C$15)</f>
        <v>0</v>
      </c>
      <c r="AB10" s="5">
        <f>AB7*AB8*(1-Inputs!$C$15)</f>
        <v>0</v>
      </c>
    </row>
    <row r="11" spans="1:28" x14ac:dyDescent="0.25">
      <c r="A11" s="4" t="s">
        <v>338</v>
      </c>
      <c r="B11" s="2" t="s">
        <v>333</v>
      </c>
      <c r="D11" s="5">
        <f t="shared" ref="D11:AB11" si="1">D7*(1-D8)</f>
        <v>5940</v>
      </c>
      <c r="E11" s="5">
        <f t="shared" si="1"/>
        <v>5916.24</v>
      </c>
      <c r="F11" s="5">
        <f t="shared" si="1"/>
        <v>5892.5750399999997</v>
      </c>
      <c r="G11" s="5">
        <f t="shared" si="1"/>
        <v>5869.0047398400002</v>
      </c>
      <c r="H11" s="5">
        <f t="shared" si="1"/>
        <v>5845.5287208806394</v>
      </c>
      <c r="I11" s="5">
        <f t="shared" si="1"/>
        <v>5822.1466059971171</v>
      </c>
      <c r="J11" s="5">
        <f t="shared" si="1"/>
        <v>5798.8580195731283</v>
      </c>
      <c r="K11" s="5">
        <f t="shared" si="1"/>
        <v>5775.6625874948359</v>
      </c>
      <c r="L11" s="5">
        <f t="shared" si="1"/>
        <v>5752.559937144857</v>
      </c>
      <c r="M11" s="5">
        <f t="shared" si="1"/>
        <v>5729.5496973962781</v>
      </c>
      <c r="N11" s="5">
        <f t="shared" si="1"/>
        <v>5706.6314986066927</v>
      </c>
      <c r="O11" s="5">
        <f t="shared" si="1"/>
        <v>5683.8049726122654</v>
      </c>
      <c r="P11" s="5">
        <f t="shared" si="1"/>
        <v>5661.0697527218163</v>
      </c>
      <c r="Q11" s="5">
        <f t="shared" si="1"/>
        <v>5638.4254737109304</v>
      </c>
      <c r="R11" s="5">
        <f t="shared" si="1"/>
        <v>5615.871771816086</v>
      </c>
      <c r="S11" s="5">
        <f t="shared" si="1"/>
        <v>5593.4082847288209</v>
      </c>
      <c r="T11" s="5">
        <f t="shared" si="1"/>
        <v>5571.0346515899064</v>
      </c>
      <c r="U11" s="5">
        <f t="shared" si="1"/>
        <v>5548.7505129835463</v>
      </c>
      <c r="V11" s="5">
        <f t="shared" si="1"/>
        <v>5526.5555109316128</v>
      </c>
      <c r="W11" s="5">
        <f t="shared" si="1"/>
        <v>5504.4492888878858</v>
      </c>
      <c r="X11" s="5">
        <f t="shared" si="1"/>
        <v>5482.4314917323345</v>
      </c>
      <c r="Y11" s="5">
        <f t="shared" si="1"/>
        <v>5460.5017657654053</v>
      </c>
      <c r="Z11" s="5">
        <f t="shared" si="1"/>
        <v>5438.6597587023443</v>
      </c>
      <c r="AA11" s="5">
        <f t="shared" si="1"/>
        <v>5416.9051196675346</v>
      </c>
      <c r="AB11" s="5">
        <f t="shared" si="1"/>
        <v>5395.2374991888637</v>
      </c>
    </row>
    <row r="12" spans="1:28" x14ac:dyDescent="0.25">
      <c r="A12" s="4" t="s">
        <v>339</v>
      </c>
      <c r="B12" s="2" t="s">
        <v>313</v>
      </c>
      <c r="D12" s="7">
        <f>D6*Inputs!$C$23*(1-Inputs!$C$29)*IF(D$4&lt;=Inputs!$C$27,1,0)</f>
        <v>1</v>
      </c>
      <c r="E12" s="7">
        <f>E6*Inputs!$C$23*(1-Inputs!$C$29)*IF(E$4&lt;=Inputs!$C$27,1,0)</f>
        <v>1</v>
      </c>
      <c r="F12" s="7">
        <f>F6*Inputs!$C$23*(1-Inputs!$C$29)*IF(F$4&lt;=Inputs!$C$27,1,0)</f>
        <v>1</v>
      </c>
      <c r="G12" s="7">
        <f>G6*Inputs!$C$23*(1-Inputs!$C$29)*IF(G$4&lt;=Inputs!$C$27,1,0)</f>
        <v>1</v>
      </c>
      <c r="H12" s="7">
        <f>H6*Inputs!$C$23*(1-Inputs!$C$29)*IF(H$4&lt;=Inputs!$C$27,1,0)</f>
        <v>1</v>
      </c>
      <c r="I12" s="7">
        <f>I6*Inputs!$C$23*(1-Inputs!$C$29)*IF(I$4&lt;=Inputs!$C$27,1,0)</f>
        <v>1</v>
      </c>
      <c r="J12" s="7">
        <f>J6*Inputs!$C$23*(1-Inputs!$C$29)*IF(J$4&lt;=Inputs!$C$27,1,0)</f>
        <v>1</v>
      </c>
      <c r="K12" s="7">
        <f>K6*Inputs!$C$23*(1-Inputs!$C$29)*IF(K$4&lt;=Inputs!$C$27,1,0)</f>
        <v>1</v>
      </c>
      <c r="L12" s="7">
        <f>L6*Inputs!$C$23*(1-Inputs!$C$29)*IF(L$4&lt;=Inputs!$C$27,1,0)</f>
        <v>1</v>
      </c>
      <c r="M12" s="7">
        <f>M6*Inputs!$C$23*(1-Inputs!$C$29)*IF(M$4&lt;=Inputs!$C$27,1,0)</f>
        <v>1</v>
      </c>
      <c r="N12" s="7">
        <f>N6*Inputs!$C$23*(1-Inputs!$C$29)*IF(N$4&lt;=Inputs!$C$27,1,0)</f>
        <v>1</v>
      </c>
      <c r="O12" s="7">
        <f>O6*Inputs!$C$23*(1-Inputs!$C$29)*IF(O$4&lt;=Inputs!$C$27,1,0)</f>
        <v>1</v>
      </c>
      <c r="P12" s="7">
        <f>P6*Inputs!$C$23*(1-Inputs!$C$29)*IF(P$4&lt;=Inputs!$C$27,1,0)</f>
        <v>1</v>
      </c>
      <c r="Q12" s="7">
        <f>Q6*Inputs!$C$23*(1-Inputs!$C$29)*IF(Q$4&lt;=Inputs!$C$27,1,0)</f>
        <v>1</v>
      </c>
      <c r="R12" s="7">
        <f>R6*Inputs!$C$23*(1-Inputs!$C$29)*IF(R$4&lt;=Inputs!$C$27,1,0)</f>
        <v>1</v>
      </c>
      <c r="S12" s="7">
        <f>S6*Inputs!$C$23*(1-Inputs!$C$29)*IF(S$4&lt;=Inputs!$C$27,1,0)</f>
        <v>0</v>
      </c>
      <c r="T12" s="7">
        <f>T6*Inputs!$C$23*(1-Inputs!$C$29)*IF(T$4&lt;=Inputs!$C$27,1,0)</f>
        <v>0</v>
      </c>
      <c r="U12" s="7">
        <f>U6*Inputs!$C$23*(1-Inputs!$C$29)*IF(U$4&lt;=Inputs!$C$27,1,0)</f>
        <v>0</v>
      </c>
      <c r="V12" s="7">
        <f>V6*Inputs!$C$23*(1-Inputs!$C$29)*IF(V$4&lt;=Inputs!$C$27,1,0)</f>
        <v>0</v>
      </c>
      <c r="W12" s="7">
        <f>W6*Inputs!$C$23*(1-Inputs!$C$29)*IF(W$4&lt;=Inputs!$C$27,1,0)</f>
        <v>0</v>
      </c>
      <c r="X12" s="7">
        <f>X6*Inputs!$C$23*(1-Inputs!$C$29)*IF(X$4&lt;=Inputs!$C$27,1,0)</f>
        <v>0</v>
      </c>
      <c r="Y12" s="7">
        <f>Y6*Inputs!$C$23*(1-Inputs!$C$29)*IF(Y$4&lt;=Inputs!$C$27,1,0)</f>
        <v>0</v>
      </c>
      <c r="Z12" s="7">
        <f>Z6*Inputs!$C$23*(1-Inputs!$C$29)*IF(Z$4&lt;=Inputs!$C$27,1,0)</f>
        <v>0</v>
      </c>
      <c r="AA12" s="7">
        <f>AA6*Inputs!$C$23*(1-Inputs!$C$29)*IF(AA$4&lt;=Inputs!$C$27,1,0)</f>
        <v>0</v>
      </c>
      <c r="AB12" s="7">
        <f>AB6*Inputs!$C$23*(1-Inputs!$C$29)*IF(AB$4&lt;=Inputs!$C$27,1,0)</f>
        <v>0</v>
      </c>
    </row>
    <row r="13" spans="1:28" x14ac:dyDescent="0.25">
      <c r="A13" s="4" t="s">
        <v>340</v>
      </c>
      <c r="B13" s="2" t="s">
        <v>333</v>
      </c>
      <c r="D13" s="5">
        <f>D12*(D11+D10*Inputs!$C$24)</f>
        <v>5940</v>
      </c>
      <c r="E13" s="5">
        <f>E12*(E11+E10*Inputs!$C$24)</f>
        <v>5916.24</v>
      </c>
      <c r="F13" s="5">
        <f>F12*(F11+F10*Inputs!$C$24)</f>
        <v>5892.5750399999997</v>
      </c>
      <c r="G13" s="5">
        <f>G12*(G11+G10*Inputs!$C$24)</f>
        <v>5869.0047398400002</v>
      </c>
      <c r="H13" s="5">
        <f>H12*(H11+H10*Inputs!$C$24)</f>
        <v>5845.5287208806394</v>
      </c>
      <c r="I13" s="5">
        <f>I12*(I11+I10*Inputs!$C$24)</f>
        <v>5822.1466059971171</v>
      </c>
      <c r="J13" s="5">
        <f>J12*(J11+J10*Inputs!$C$24)</f>
        <v>5798.8580195731283</v>
      </c>
      <c r="K13" s="5">
        <f>K12*(K11+K10*Inputs!$C$24)</f>
        <v>5775.6625874948359</v>
      </c>
      <c r="L13" s="5">
        <f>L12*(L11+L10*Inputs!$C$24)</f>
        <v>5752.559937144857</v>
      </c>
      <c r="M13" s="5">
        <f>M12*(M11+M10*Inputs!$C$24)</f>
        <v>5729.5496973962781</v>
      </c>
      <c r="N13" s="5">
        <f>N12*(N11+N10*Inputs!$C$24)</f>
        <v>5706.6314986066927</v>
      </c>
      <c r="O13" s="5">
        <f>O12*(O11+O10*Inputs!$C$24)</f>
        <v>5683.8049726122654</v>
      </c>
      <c r="P13" s="5">
        <f>P12*(P11+P10*Inputs!$C$24)</f>
        <v>5661.0697527218163</v>
      </c>
      <c r="Q13" s="5">
        <f>Q12*(Q11+Q10*Inputs!$C$24)</f>
        <v>5638.4254737109304</v>
      </c>
      <c r="R13" s="5">
        <f>R12*(R11+R10*Inputs!$C$24)</f>
        <v>5615.871771816086</v>
      </c>
      <c r="S13" s="5">
        <f>S12*(S11+S10*Inputs!$C$24)</f>
        <v>0</v>
      </c>
      <c r="T13" s="5">
        <f>T12*(T11+T10*Inputs!$C$24)</f>
        <v>0</v>
      </c>
      <c r="U13" s="5">
        <f>U12*(U11+U10*Inputs!$C$24)</f>
        <v>0</v>
      </c>
      <c r="V13" s="5">
        <f>V12*(V11+V10*Inputs!$C$24)</f>
        <v>0</v>
      </c>
      <c r="W13" s="5">
        <f>W12*(W11+W10*Inputs!$C$24)</f>
        <v>0</v>
      </c>
      <c r="X13" s="5">
        <f>X12*(X11+X10*Inputs!$C$24)</f>
        <v>0</v>
      </c>
      <c r="Y13" s="5">
        <f>Y12*(Y11+Y10*Inputs!$C$24)</f>
        <v>0</v>
      </c>
      <c r="Z13" s="5">
        <f>Z12*(Z11+Z10*Inputs!$C$24)</f>
        <v>0</v>
      </c>
      <c r="AA13" s="5">
        <f>AA12*(AA11+AA10*Inputs!$C$24)</f>
        <v>0</v>
      </c>
      <c r="AB13" s="5">
        <f>AB12*(AB11+AB10*Inputs!$C$24)</f>
        <v>0</v>
      </c>
    </row>
    <row r="14" spans="1:28" x14ac:dyDescent="0.25">
      <c r="A14" s="4" t="s">
        <v>341</v>
      </c>
      <c r="B14" s="2" t="s">
        <v>333</v>
      </c>
      <c r="D14" s="5">
        <f t="shared" ref="D14:AB14" si="2">D11+D10-D13</f>
        <v>0</v>
      </c>
      <c r="E14" s="5">
        <f t="shared" si="2"/>
        <v>0</v>
      </c>
      <c r="F14" s="5">
        <f t="shared" si="2"/>
        <v>0</v>
      </c>
      <c r="G14" s="5">
        <f t="shared" si="2"/>
        <v>0</v>
      </c>
      <c r="H14" s="5">
        <f t="shared" si="2"/>
        <v>0</v>
      </c>
      <c r="I14" s="5">
        <f t="shared" si="2"/>
        <v>0</v>
      </c>
      <c r="J14" s="5">
        <f t="shared" si="2"/>
        <v>0</v>
      </c>
      <c r="K14" s="5">
        <f t="shared" si="2"/>
        <v>0</v>
      </c>
      <c r="L14" s="5">
        <f t="shared" si="2"/>
        <v>0</v>
      </c>
      <c r="M14" s="5">
        <f t="shared" si="2"/>
        <v>0</v>
      </c>
      <c r="N14" s="5">
        <f t="shared" si="2"/>
        <v>0</v>
      </c>
      <c r="O14" s="5">
        <f t="shared" si="2"/>
        <v>0</v>
      </c>
      <c r="P14" s="5">
        <f t="shared" si="2"/>
        <v>0</v>
      </c>
      <c r="Q14" s="5">
        <f t="shared" si="2"/>
        <v>0</v>
      </c>
      <c r="R14" s="5">
        <f t="shared" si="2"/>
        <v>0</v>
      </c>
      <c r="S14" s="5">
        <f t="shared" si="2"/>
        <v>5593.4082847288209</v>
      </c>
      <c r="T14" s="5">
        <f t="shared" si="2"/>
        <v>5571.0346515899064</v>
      </c>
      <c r="U14" s="5">
        <f t="shared" si="2"/>
        <v>5548.7505129835463</v>
      </c>
      <c r="V14" s="5">
        <f t="shared" si="2"/>
        <v>5526.5555109316128</v>
      </c>
      <c r="W14" s="5">
        <f t="shared" si="2"/>
        <v>5504.4492888878858</v>
      </c>
      <c r="X14" s="5">
        <f t="shared" si="2"/>
        <v>5482.4314917323345</v>
      </c>
      <c r="Y14" s="5">
        <f t="shared" si="2"/>
        <v>5460.5017657654053</v>
      </c>
      <c r="Z14" s="5">
        <f t="shared" si="2"/>
        <v>5438.6597587023443</v>
      </c>
      <c r="AA14" s="5">
        <f t="shared" si="2"/>
        <v>5416.9051196675346</v>
      </c>
      <c r="AB14" s="5">
        <f t="shared" si="2"/>
        <v>5395.2374991888637</v>
      </c>
    </row>
    <row r="15" spans="1:28" x14ac:dyDescent="0.25">
      <c r="A15" s="31" t="s">
        <v>113</v>
      </c>
    </row>
    <row r="16" spans="1:28" x14ac:dyDescent="0.25">
      <c r="A16" s="4" t="s">
        <v>342</v>
      </c>
      <c r="B16" s="2" t="s">
        <v>119</v>
      </c>
      <c r="D16" s="33">
        <f>Inputs!$C$16*(1+Inputs!$C$19)^(D$4-1)</f>
        <v>110</v>
      </c>
      <c r="E16" s="33">
        <f>Inputs!$C$16*(1+Inputs!$C$19)^(E$4-1)</f>
        <v>111.1</v>
      </c>
      <c r="F16" s="33">
        <f>Inputs!$C$16*(1+Inputs!$C$19)^(F$4-1)</f>
        <v>112.211</v>
      </c>
      <c r="G16" s="33">
        <f>Inputs!$C$16*(1+Inputs!$C$19)^(G$4-1)</f>
        <v>113.33310999999999</v>
      </c>
      <c r="H16" s="33">
        <f>Inputs!$C$16*(1+Inputs!$C$19)^(H$4-1)</f>
        <v>114.4664411</v>
      </c>
      <c r="I16" s="33">
        <f>Inputs!$C$16*(1+Inputs!$C$19)^(I$4-1)</f>
        <v>115.61110551099999</v>
      </c>
      <c r="J16" s="33">
        <f>Inputs!$C$16*(1+Inputs!$C$19)^(J$4-1)</f>
        <v>116.76721656611001</v>
      </c>
      <c r="K16" s="33">
        <f>Inputs!$C$16*(1+Inputs!$C$19)^(K$4-1)</f>
        <v>117.93488873177108</v>
      </c>
      <c r="L16" s="33">
        <f>Inputs!$C$16*(1+Inputs!$C$19)^(L$4-1)</f>
        <v>119.11423761908883</v>
      </c>
      <c r="M16" s="33">
        <f>Inputs!$C$16*(1+Inputs!$C$19)^(M$4-1)</f>
        <v>120.30537999527972</v>
      </c>
      <c r="N16" s="33">
        <f>Inputs!$C$16*(1+Inputs!$C$19)^(N$4-1)</f>
        <v>121.50843379523252</v>
      </c>
      <c r="O16" s="33">
        <f>Inputs!$C$16*(1+Inputs!$C$19)^(O$4-1)</f>
        <v>122.72351813318483</v>
      </c>
      <c r="P16" s="33">
        <f>Inputs!$C$16*(1+Inputs!$C$19)^(P$4-1)</f>
        <v>123.95075331451667</v>
      </c>
      <c r="Q16" s="33">
        <f>Inputs!$C$16*(1+Inputs!$C$19)^(Q$4-1)</f>
        <v>125.19026084766185</v>
      </c>
      <c r="R16" s="33">
        <f>Inputs!$C$16*(1+Inputs!$C$19)^(R$4-1)</f>
        <v>126.44216345613849</v>
      </c>
      <c r="S16" s="33">
        <f>Inputs!$C$16*(1+Inputs!$C$19)^(S$4-1)</f>
        <v>127.70658509069983</v>
      </c>
      <c r="T16" s="33">
        <f>Inputs!$C$16*(1+Inputs!$C$19)^(T$4-1)</f>
        <v>128.98365094160687</v>
      </c>
      <c r="U16" s="33">
        <f>Inputs!$C$16*(1+Inputs!$C$19)^(U$4-1)</f>
        <v>130.27348745102293</v>
      </c>
      <c r="V16" s="33">
        <f>Inputs!$C$16*(1+Inputs!$C$19)^(V$4-1)</f>
        <v>131.57622232553317</v>
      </c>
      <c r="W16" s="33">
        <f>Inputs!$C$16*(1+Inputs!$C$19)^(W$4-1)</f>
        <v>132.89198454878849</v>
      </c>
      <c r="X16" s="33">
        <f>Inputs!$C$16*(1+Inputs!$C$19)^(X$4-1)</f>
        <v>134.22090439427637</v>
      </c>
      <c r="Y16" s="33">
        <f>Inputs!$C$16*(1+Inputs!$C$19)^(Y$4-1)</f>
        <v>135.56311343821912</v>
      </c>
      <c r="Z16" s="33">
        <f>Inputs!$C$16*(1+Inputs!$C$19)^(Z$4-1)</f>
        <v>136.91874457260136</v>
      </c>
      <c r="AA16" s="33">
        <f>Inputs!$C$16*(1+Inputs!$C$19)^(AA$4-1)</f>
        <v>138.28793201832735</v>
      </c>
      <c r="AB16" s="33">
        <f>Inputs!$C$16*(1+Inputs!$C$19)^(AB$4-1)</f>
        <v>139.67081133851065</v>
      </c>
    </row>
    <row r="17" spans="1:28" x14ac:dyDescent="0.25">
      <c r="A17" s="4" t="s">
        <v>343</v>
      </c>
      <c r="B17" s="2" t="s">
        <v>119</v>
      </c>
      <c r="D17" s="33">
        <f>Inputs!$C$21*(1+Inputs!$C$22)^(D$4-1)*(1+0)</f>
        <v>45</v>
      </c>
      <c r="E17" s="33">
        <f>Inputs!$C$21*(1+Inputs!$C$22)^(E$4-1)*(1+0)</f>
        <v>45</v>
      </c>
      <c r="F17" s="33">
        <f>Inputs!$C$21*(1+Inputs!$C$22)^(F$4-1)*(1+0)</f>
        <v>45</v>
      </c>
      <c r="G17" s="33">
        <f>Inputs!$C$21*(1+Inputs!$C$22)^(G$4-1)*(1+0)</f>
        <v>45</v>
      </c>
      <c r="H17" s="33">
        <f>Inputs!$C$21*(1+Inputs!$C$22)^(H$4-1)*(1+0)</f>
        <v>45</v>
      </c>
      <c r="I17" s="33">
        <f>Inputs!$C$21*(1+Inputs!$C$22)^(I$4-1)*(1+0)</f>
        <v>45</v>
      </c>
      <c r="J17" s="33">
        <f>Inputs!$C$21*(1+Inputs!$C$22)^(J$4-1)*(1+0)</f>
        <v>45</v>
      </c>
      <c r="K17" s="33">
        <f>Inputs!$C$21*(1+Inputs!$C$22)^(K$4-1)*(1+0)</f>
        <v>45</v>
      </c>
      <c r="L17" s="33">
        <f>Inputs!$C$21*(1+Inputs!$C$22)^(L$4-1)*(1+0)</f>
        <v>45</v>
      </c>
      <c r="M17" s="33">
        <f>Inputs!$C$21*(1+Inputs!$C$22)^(M$4-1)*(1+0)</f>
        <v>45</v>
      </c>
      <c r="N17" s="33">
        <f>Inputs!$C$21*(1+Inputs!$C$22)^(N$4-1)*(1+0)</f>
        <v>45</v>
      </c>
      <c r="O17" s="33">
        <f>Inputs!$C$21*(1+Inputs!$C$22)^(O$4-1)*(1+0)</f>
        <v>45</v>
      </c>
      <c r="P17" s="33">
        <f>Inputs!$C$21*(1+Inputs!$C$22)^(P$4-1)*(1+0)</f>
        <v>45</v>
      </c>
      <c r="Q17" s="33">
        <f>Inputs!$C$21*(1+Inputs!$C$22)^(Q$4-1)*(1+0)</f>
        <v>45</v>
      </c>
      <c r="R17" s="33">
        <f>Inputs!$C$21*(1+Inputs!$C$22)^(R$4-1)*(1+0)</f>
        <v>45</v>
      </c>
      <c r="S17" s="33">
        <f>Inputs!$C$21*(1+Inputs!$C$22)^(S$4-1)*(1+0)</f>
        <v>45</v>
      </c>
      <c r="T17" s="33">
        <f>Inputs!$C$21*(1+Inputs!$C$22)^(T$4-1)*(1+0)</f>
        <v>45</v>
      </c>
      <c r="U17" s="33">
        <f>Inputs!$C$21*(1+Inputs!$C$22)^(U$4-1)*(1+0)</f>
        <v>45</v>
      </c>
      <c r="V17" s="33">
        <f>Inputs!$C$21*(1+Inputs!$C$22)^(V$4-1)*(1+0)</f>
        <v>45</v>
      </c>
      <c r="W17" s="33">
        <f>Inputs!$C$21*(1+Inputs!$C$22)^(W$4-1)*(1+0)</f>
        <v>45</v>
      </c>
      <c r="X17" s="33">
        <f>Inputs!$C$21*(1+Inputs!$C$22)^(X$4-1)*(1+0)</f>
        <v>45</v>
      </c>
      <c r="Y17" s="33">
        <f>Inputs!$C$21*(1+Inputs!$C$22)^(Y$4-1)*(1+0)</f>
        <v>45</v>
      </c>
      <c r="Z17" s="33">
        <f>Inputs!$C$21*(1+Inputs!$C$22)^(Z$4-1)*(1+0)</f>
        <v>45</v>
      </c>
      <c r="AA17" s="33">
        <f>Inputs!$C$21*(1+Inputs!$C$22)^(AA$4-1)*(1+0)</f>
        <v>45</v>
      </c>
      <c r="AB17" s="33">
        <f>Inputs!$C$21*(1+Inputs!$C$22)^(AB$4-1)*(1+0)</f>
        <v>45</v>
      </c>
    </row>
    <row r="18" spans="1:28" x14ac:dyDescent="0.25">
      <c r="A18" s="4" t="s">
        <v>344</v>
      </c>
      <c r="B18" s="2" t="s">
        <v>225</v>
      </c>
      <c r="D18" s="5">
        <f t="shared" ref="D18:AB18" si="3">D9*D16</f>
        <v>0</v>
      </c>
      <c r="E18" s="5">
        <f t="shared" si="3"/>
        <v>0</v>
      </c>
      <c r="F18" s="5">
        <f t="shared" si="3"/>
        <v>0</v>
      </c>
      <c r="G18" s="5">
        <f t="shared" si="3"/>
        <v>0</v>
      </c>
      <c r="H18" s="5">
        <f t="shared" si="3"/>
        <v>0</v>
      </c>
      <c r="I18" s="5">
        <f t="shared" si="3"/>
        <v>0</v>
      </c>
      <c r="J18" s="5">
        <f t="shared" si="3"/>
        <v>0</v>
      </c>
      <c r="K18" s="5">
        <f t="shared" si="3"/>
        <v>0</v>
      </c>
      <c r="L18" s="5">
        <f t="shared" si="3"/>
        <v>0</v>
      </c>
      <c r="M18" s="5">
        <f t="shared" si="3"/>
        <v>0</v>
      </c>
      <c r="N18" s="5">
        <f t="shared" si="3"/>
        <v>0</v>
      </c>
      <c r="O18" s="5">
        <f t="shared" si="3"/>
        <v>0</v>
      </c>
      <c r="P18" s="5">
        <f t="shared" si="3"/>
        <v>0</v>
      </c>
      <c r="Q18" s="5">
        <f t="shared" si="3"/>
        <v>0</v>
      </c>
      <c r="R18" s="5">
        <f t="shared" si="3"/>
        <v>0</v>
      </c>
      <c r="S18" s="5">
        <f t="shared" si="3"/>
        <v>0</v>
      </c>
      <c r="T18" s="5">
        <f t="shared" si="3"/>
        <v>0</v>
      </c>
      <c r="U18" s="5">
        <f t="shared" si="3"/>
        <v>0</v>
      </c>
      <c r="V18" s="5">
        <f t="shared" si="3"/>
        <v>0</v>
      </c>
      <c r="W18" s="5">
        <f t="shared" si="3"/>
        <v>0</v>
      </c>
      <c r="X18" s="5">
        <f t="shared" si="3"/>
        <v>0</v>
      </c>
      <c r="Y18" s="5">
        <f t="shared" si="3"/>
        <v>0</v>
      </c>
      <c r="Z18" s="5">
        <f t="shared" si="3"/>
        <v>0</v>
      </c>
      <c r="AA18" s="5">
        <f t="shared" si="3"/>
        <v>0</v>
      </c>
      <c r="AB18" s="5">
        <f t="shared" si="3"/>
        <v>0</v>
      </c>
    </row>
    <row r="19" spans="1:28" x14ac:dyDescent="0.25">
      <c r="A19" s="4" t="s">
        <v>345</v>
      </c>
      <c r="B19" s="2" t="s">
        <v>225</v>
      </c>
      <c r="D19" s="5">
        <f>D13*(1-Inputs!$C$26)*(Inputs!$C$25-Inputs!$C$28)+D14*(D17-Inputs!$C$28)</f>
        <v>451885.5</v>
      </c>
      <c r="E19" s="5">
        <f>E13*(1-Inputs!$C$26)*(Inputs!$C$25-Inputs!$C$28)+E14*(E17-Inputs!$C$28)</f>
        <v>450077.95799999998</v>
      </c>
      <c r="F19" s="5">
        <f>F13*(1-Inputs!$C$26)*(Inputs!$C$25-Inputs!$C$28)+F14*(F17-Inputs!$C$28)</f>
        <v>448277.64616800001</v>
      </c>
      <c r="G19" s="5">
        <f>G13*(1-Inputs!$C$26)*(Inputs!$C$25-Inputs!$C$28)+G14*(G17-Inputs!$C$28)</f>
        <v>446484.53558332799</v>
      </c>
      <c r="H19" s="5">
        <f>H13*(1-Inputs!$C$26)*(Inputs!$C$25-Inputs!$C$28)+H14*(H17-Inputs!$C$28)</f>
        <v>444698.59744099464</v>
      </c>
      <c r="I19" s="5">
        <f>I13*(1-Inputs!$C$26)*(Inputs!$C$25-Inputs!$C$28)+I14*(I17-Inputs!$C$28)</f>
        <v>442919.80305123067</v>
      </c>
      <c r="J19" s="5">
        <f>J13*(1-Inputs!$C$26)*(Inputs!$C$25-Inputs!$C$28)+J14*(J17-Inputs!$C$28)</f>
        <v>441148.12383902573</v>
      </c>
      <c r="K19" s="5">
        <f>K13*(1-Inputs!$C$26)*(Inputs!$C$25-Inputs!$C$28)+K14*(K17-Inputs!$C$28)</f>
        <v>439383.53134366963</v>
      </c>
      <c r="L19" s="5">
        <f>L13*(1-Inputs!$C$26)*(Inputs!$C$25-Inputs!$C$28)+L14*(L17-Inputs!$C$28)</f>
        <v>437625.997218295</v>
      </c>
      <c r="M19" s="5">
        <f>M13*(1-Inputs!$C$26)*(Inputs!$C$25-Inputs!$C$28)+M14*(M17-Inputs!$C$28)</f>
        <v>435875.49322942185</v>
      </c>
      <c r="N19" s="5">
        <f>N13*(1-Inputs!$C$26)*(Inputs!$C$25-Inputs!$C$28)+N14*(N17-Inputs!$C$28)</f>
        <v>434131.99125650414</v>
      </c>
      <c r="O19" s="5">
        <f>O13*(1-Inputs!$C$26)*(Inputs!$C$25-Inputs!$C$28)+O14*(O17-Inputs!$C$28)</f>
        <v>432395.46329147811</v>
      </c>
      <c r="P19" s="5">
        <f>P13*(1-Inputs!$C$26)*(Inputs!$C$25-Inputs!$C$28)+P14*(P17-Inputs!$C$28)</f>
        <v>430665.88143831218</v>
      </c>
      <c r="Q19" s="5">
        <f>Q13*(1-Inputs!$C$26)*(Inputs!$C$25-Inputs!$C$28)+Q14*(Q17-Inputs!$C$28)</f>
        <v>428943.21791255905</v>
      </c>
      <c r="R19" s="5">
        <f>R13*(1-Inputs!$C$26)*(Inputs!$C$25-Inputs!$C$28)+R14*(R17-Inputs!$C$28)</f>
        <v>427227.44504090876</v>
      </c>
      <c r="S19" s="5">
        <f>S13*(1-Inputs!$C$26)*(Inputs!$C$25-Inputs!$C$28)+S14*(S17-Inputs!$C$28)</f>
        <v>234923.14795861047</v>
      </c>
      <c r="T19" s="5">
        <f>T13*(1-Inputs!$C$26)*(Inputs!$C$25-Inputs!$C$28)+T14*(T17-Inputs!$C$28)</f>
        <v>233983.45536677606</v>
      </c>
      <c r="U19" s="5">
        <f>U13*(1-Inputs!$C$26)*(Inputs!$C$25-Inputs!$C$28)+U14*(U17-Inputs!$C$28)</f>
        <v>233047.52154530893</v>
      </c>
      <c r="V19" s="5">
        <f>V13*(1-Inputs!$C$26)*(Inputs!$C$25-Inputs!$C$28)+V14*(V17-Inputs!$C$28)</f>
        <v>232115.33145912774</v>
      </c>
      <c r="W19" s="5">
        <f>W13*(1-Inputs!$C$26)*(Inputs!$C$25-Inputs!$C$28)+W14*(W17-Inputs!$C$28)</f>
        <v>231186.8701332912</v>
      </c>
      <c r="X19" s="5">
        <f>X13*(1-Inputs!$C$26)*(Inputs!$C$25-Inputs!$C$28)+X14*(X17-Inputs!$C$28)</f>
        <v>230262.12265275806</v>
      </c>
      <c r="Y19" s="5">
        <f>Y13*(1-Inputs!$C$26)*(Inputs!$C$25-Inputs!$C$28)+Y14*(Y17-Inputs!$C$28)</f>
        <v>229341.07416214701</v>
      </c>
      <c r="Z19" s="5">
        <f>Z13*(1-Inputs!$C$26)*(Inputs!$C$25-Inputs!$C$28)+Z14*(Z17-Inputs!$C$28)</f>
        <v>228423.70986549847</v>
      </c>
      <c r="AA19" s="5">
        <f>AA13*(1-Inputs!$C$26)*(Inputs!$C$25-Inputs!$C$28)+AA14*(AA17-Inputs!$C$28)</f>
        <v>227510.01502603645</v>
      </c>
      <c r="AB19" s="5">
        <f>AB13*(1-Inputs!$C$26)*(Inputs!$C$25-Inputs!$C$28)+AB14*(AB17-Inputs!$C$28)</f>
        <v>226599.97496593228</v>
      </c>
    </row>
    <row r="20" spans="1:28" x14ac:dyDescent="0.25">
      <c r="A20" s="3" t="s">
        <v>346</v>
      </c>
      <c r="B20" s="2" t="s">
        <v>225</v>
      </c>
      <c r="D20" s="25">
        <f t="shared" ref="D20:AB20" si="4">D18+D19</f>
        <v>451885.5</v>
      </c>
      <c r="E20" s="25">
        <f t="shared" si="4"/>
        <v>450077.95799999998</v>
      </c>
      <c r="F20" s="25">
        <f t="shared" si="4"/>
        <v>448277.64616800001</v>
      </c>
      <c r="G20" s="25">
        <f t="shared" si="4"/>
        <v>446484.53558332799</v>
      </c>
      <c r="H20" s="25">
        <f t="shared" si="4"/>
        <v>444698.59744099464</v>
      </c>
      <c r="I20" s="25">
        <f t="shared" si="4"/>
        <v>442919.80305123067</v>
      </c>
      <c r="J20" s="25">
        <f t="shared" si="4"/>
        <v>441148.12383902573</v>
      </c>
      <c r="K20" s="25">
        <f t="shared" si="4"/>
        <v>439383.53134366963</v>
      </c>
      <c r="L20" s="25">
        <f t="shared" si="4"/>
        <v>437625.997218295</v>
      </c>
      <c r="M20" s="25">
        <f t="shared" si="4"/>
        <v>435875.49322942185</v>
      </c>
      <c r="N20" s="25">
        <f t="shared" si="4"/>
        <v>434131.99125650414</v>
      </c>
      <c r="O20" s="25">
        <f t="shared" si="4"/>
        <v>432395.46329147811</v>
      </c>
      <c r="P20" s="25">
        <f t="shared" si="4"/>
        <v>430665.88143831218</v>
      </c>
      <c r="Q20" s="25">
        <f t="shared" si="4"/>
        <v>428943.21791255905</v>
      </c>
      <c r="R20" s="25">
        <f t="shared" si="4"/>
        <v>427227.44504090876</v>
      </c>
      <c r="S20" s="25">
        <f t="shared" si="4"/>
        <v>234923.14795861047</v>
      </c>
      <c r="T20" s="25">
        <f t="shared" si="4"/>
        <v>233983.45536677606</v>
      </c>
      <c r="U20" s="25">
        <f t="shared" si="4"/>
        <v>233047.52154530893</v>
      </c>
      <c r="V20" s="25">
        <f t="shared" si="4"/>
        <v>232115.33145912774</v>
      </c>
      <c r="W20" s="25">
        <f t="shared" si="4"/>
        <v>231186.8701332912</v>
      </c>
      <c r="X20" s="25">
        <f t="shared" si="4"/>
        <v>230262.12265275806</v>
      </c>
      <c r="Y20" s="25">
        <f t="shared" si="4"/>
        <v>229341.07416214701</v>
      </c>
      <c r="Z20" s="25">
        <f t="shared" si="4"/>
        <v>228423.70986549847</v>
      </c>
      <c r="AA20" s="25">
        <f t="shared" si="4"/>
        <v>227510.01502603645</v>
      </c>
      <c r="AB20" s="25">
        <f t="shared" si="4"/>
        <v>226599.97496593228</v>
      </c>
    </row>
    <row r="21" spans="1:28" x14ac:dyDescent="0.25">
      <c r="A21" s="31" t="s">
        <v>347</v>
      </c>
    </row>
    <row r="22" spans="1:28" x14ac:dyDescent="0.25">
      <c r="A22" s="4" t="s">
        <v>176</v>
      </c>
      <c r="B22" s="2" t="s">
        <v>225</v>
      </c>
      <c r="D22" s="5">
        <f>Inputs!$C$71*Inputs!$C$32*(1+Inputs!$C$39)^(D$4-1)*D6</f>
        <v>60000</v>
      </c>
      <c r="E22" s="5">
        <f>Inputs!$C$71*Inputs!$C$32*(1+Inputs!$C$39)^(E$4-1)*E6</f>
        <v>61200</v>
      </c>
      <c r="F22" s="5">
        <f>Inputs!$C$71*Inputs!$C$32*(1+Inputs!$C$39)^(F$4-1)*F6</f>
        <v>62424</v>
      </c>
      <c r="G22" s="5">
        <f>Inputs!$C$71*Inputs!$C$32*(1+Inputs!$C$39)^(G$4-1)*G6</f>
        <v>63672.479999999996</v>
      </c>
      <c r="H22" s="5">
        <f>Inputs!$C$71*Inputs!$C$32*(1+Inputs!$C$39)^(H$4-1)*H6</f>
        <v>64945.929599999996</v>
      </c>
      <c r="I22" s="5">
        <f>Inputs!$C$71*Inputs!$C$32*(1+Inputs!$C$39)^(I$4-1)*I6</f>
        <v>66244.848192000005</v>
      </c>
      <c r="J22" s="5">
        <f>Inputs!$C$71*Inputs!$C$32*(1+Inputs!$C$39)^(J$4-1)*J6</f>
        <v>67569.745155840006</v>
      </c>
      <c r="K22" s="5">
        <f>Inputs!$C$71*Inputs!$C$32*(1+Inputs!$C$39)^(K$4-1)*K6</f>
        <v>68921.140058956793</v>
      </c>
      <c r="L22" s="5">
        <f>Inputs!$C$71*Inputs!$C$32*(1+Inputs!$C$39)^(L$4-1)*L6</f>
        <v>70299.562860135935</v>
      </c>
      <c r="M22" s="5">
        <f>Inputs!$C$71*Inputs!$C$32*(1+Inputs!$C$39)^(M$4-1)*M6</f>
        <v>71705.554117338645</v>
      </c>
      <c r="N22" s="5">
        <f>Inputs!$C$71*Inputs!$C$32*(1+Inputs!$C$39)^(N$4-1)*N6</f>
        <v>73139.66519968542</v>
      </c>
      <c r="O22" s="5">
        <f>Inputs!$C$71*Inputs!$C$32*(1+Inputs!$C$39)^(O$4-1)*O6</f>
        <v>74602.458503679125</v>
      </c>
      <c r="P22" s="5">
        <f>Inputs!$C$71*Inputs!$C$32*(1+Inputs!$C$39)^(P$4-1)*P6</f>
        <v>76094.507673752712</v>
      </c>
      <c r="Q22" s="5">
        <f>Inputs!$C$71*Inputs!$C$32*(1+Inputs!$C$39)^(Q$4-1)*Q6</f>
        <v>77616.39782722776</v>
      </c>
      <c r="R22" s="5">
        <f>Inputs!$C$71*Inputs!$C$32*(1+Inputs!$C$39)^(R$4-1)*R6</f>
        <v>79168.72578377233</v>
      </c>
      <c r="S22" s="5">
        <f>Inputs!$C$71*Inputs!$C$32*(1+Inputs!$C$39)^(S$4-1)*S6</f>
        <v>80752.10029944776</v>
      </c>
      <c r="T22" s="5">
        <f>Inputs!$C$71*Inputs!$C$32*(1+Inputs!$C$39)^(T$4-1)*T6</f>
        <v>82367.142305436719</v>
      </c>
      <c r="U22" s="5">
        <f>Inputs!$C$71*Inputs!$C$32*(1+Inputs!$C$39)^(U$4-1)*U6</f>
        <v>84014.485151545465</v>
      </c>
      <c r="V22" s="5">
        <f>Inputs!$C$71*Inputs!$C$32*(1+Inputs!$C$39)^(V$4-1)*V6</f>
        <v>85694.774854576361</v>
      </c>
      <c r="W22" s="5">
        <f>Inputs!$C$71*Inputs!$C$32*(1+Inputs!$C$39)^(W$4-1)*W6</f>
        <v>87408.670351667883</v>
      </c>
      <c r="X22" s="5">
        <f>Inputs!$C$71*Inputs!$C$32*(1+Inputs!$C$39)^(X$4-1)*X6</f>
        <v>89156.84375870126</v>
      </c>
      <c r="Y22" s="5">
        <f>Inputs!$C$71*Inputs!$C$32*(1+Inputs!$C$39)^(Y$4-1)*Y6</f>
        <v>90939.980633875268</v>
      </c>
      <c r="Z22" s="5">
        <f>Inputs!$C$71*Inputs!$C$32*(1+Inputs!$C$39)^(Z$4-1)*Z6</f>
        <v>92758.780246552778</v>
      </c>
      <c r="AA22" s="5">
        <f>Inputs!$C$71*Inputs!$C$32*(1+Inputs!$C$39)^(AA$4-1)*AA6</f>
        <v>94613.955851483828</v>
      </c>
      <c r="AB22" s="5">
        <f>Inputs!$C$71*Inputs!$C$32*(1+Inputs!$C$39)^(AB$4-1)*AB6</f>
        <v>96506.234968513498</v>
      </c>
    </row>
    <row r="23" spans="1:28" x14ac:dyDescent="0.25">
      <c r="A23" s="4" t="s">
        <v>180</v>
      </c>
      <c r="B23" s="2" t="s">
        <v>225</v>
      </c>
      <c r="D23" s="5">
        <f>Inputs!$C$71*Inputs!$C$33*(1+Inputs!$C$39)^(D$4-1)*D6</f>
        <v>15000</v>
      </c>
      <c r="E23" s="5">
        <f>Inputs!$C$71*Inputs!$C$33*(1+Inputs!$C$39)^(E$4-1)*E6</f>
        <v>15300</v>
      </c>
      <c r="F23" s="5">
        <f>Inputs!$C$71*Inputs!$C$33*(1+Inputs!$C$39)^(F$4-1)*F6</f>
        <v>15606</v>
      </c>
      <c r="G23" s="5">
        <f>Inputs!$C$71*Inputs!$C$33*(1+Inputs!$C$39)^(G$4-1)*G6</f>
        <v>15918.119999999999</v>
      </c>
      <c r="H23" s="5">
        <f>Inputs!$C$71*Inputs!$C$33*(1+Inputs!$C$39)^(H$4-1)*H6</f>
        <v>16236.482399999999</v>
      </c>
      <c r="I23" s="5">
        <f>Inputs!$C$71*Inputs!$C$33*(1+Inputs!$C$39)^(I$4-1)*I6</f>
        <v>16561.212048000001</v>
      </c>
      <c r="J23" s="5">
        <f>Inputs!$C$71*Inputs!$C$33*(1+Inputs!$C$39)^(J$4-1)*J6</f>
        <v>16892.436288960002</v>
      </c>
      <c r="K23" s="5">
        <f>Inputs!$C$71*Inputs!$C$33*(1+Inputs!$C$39)^(K$4-1)*K6</f>
        <v>17230.285014739198</v>
      </c>
      <c r="L23" s="5">
        <f>Inputs!$C$71*Inputs!$C$33*(1+Inputs!$C$39)^(L$4-1)*L6</f>
        <v>17574.890715033984</v>
      </c>
      <c r="M23" s="5">
        <f>Inputs!$C$71*Inputs!$C$33*(1+Inputs!$C$39)^(M$4-1)*M6</f>
        <v>17926.388529334661</v>
      </c>
      <c r="N23" s="5">
        <f>Inputs!$C$71*Inputs!$C$33*(1+Inputs!$C$39)^(N$4-1)*N6</f>
        <v>18284.916299921355</v>
      </c>
      <c r="O23" s="5">
        <f>Inputs!$C$71*Inputs!$C$33*(1+Inputs!$C$39)^(O$4-1)*O6</f>
        <v>18650.614625919781</v>
      </c>
      <c r="P23" s="5">
        <f>Inputs!$C$71*Inputs!$C$33*(1+Inputs!$C$39)^(P$4-1)*P6</f>
        <v>19023.626918438178</v>
      </c>
      <c r="Q23" s="5">
        <f>Inputs!$C$71*Inputs!$C$33*(1+Inputs!$C$39)^(Q$4-1)*Q6</f>
        <v>19404.09945680694</v>
      </c>
      <c r="R23" s="5">
        <f>Inputs!$C$71*Inputs!$C$33*(1+Inputs!$C$39)^(R$4-1)*R6</f>
        <v>19792.181445943083</v>
      </c>
      <c r="S23" s="5">
        <f>Inputs!$C$71*Inputs!$C$33*(1+Inputs!$C$39)^(S$4-1)*S6</f>
        <v>20188.02507486194</v>
      </c>
      <c r="T23" s="5">
        <f>Inputs!$C$71*Inputs!$C$33*(1+Inputs!$C$39)^(T$4-1)*T6</f>
        <v>20591.78557635918</v>
      </c>
      <c r="U23" s="5">
        <f>Inputs!$C$71*Inputs!$C$33*(1+Inputs!$C$39)^(U$4-1)*U6</f>
        <v>21003.621287886366</v>
      </c>
      <c r="V23" s="5">
        <f>Inputs!$C$71*Inputs!$C$33*(1+Inputs!$C$39)^(V$4-1)*V6</f>
        <v>21423.69371364409</v>
      </c>
      <c r="W23" s="5">
        <f>Inputs!$C$71*Inputs!$C$33*(1+Inputs!$C$39)^(W$4-1)*W6</f>
        <v>21852.167587916971</v>
      </c>
      <c r="X23" s="5">
        <f>Inputs!$C$71*Inputs!$C$33*(1+Inputs!$C$39)^(X$4-1)*X6</f>
        <v>22289.210939675315</v>
      </c>
      <c r="Y23" s="5">
        <f>Inputs!$C$71*Inputs!$C$33*(1+Inputs!$C$39)^(Y$4-1)*Y6</f>
        <v>22734.995158468817</v>
      </c>
      <c r="Z23" s="5">
        <f>Inputs!$C$71*Inputs!$C$33*(1+Inputs!$C$39)^(Z$4-1)*Z6</f>
        <v>23189.695061638195</v>
      </c>
      <c r="AA23" s="5">
        <f>Inputs!$C$71*Inputs!$C$33*(1+Inputs!$C$39)^(AA$4-1)*AA6</f>
        <v>23653.488962870957</v>
      </c>
      <c r="AB23" s="5">
        <f>Inputs!$C$71*Inputs!$C$33*(1+Inputs!$C$39)^(AB$4-1)*AB6</f>
        <v>24126.558742128374</v>
      </c>
    </row>
    <row r="24" spans="1:28" x14ac:dyDescent="0.25">
      <c r="A24" s="4" t="s">
        <v>183</v>
      </c>
      <c r="B24" s="2" t="s">
        <v>225</v>
      </c>
      <c r="D24" s="5">
        <f>Inputs!$C$71*Inputs!$C$34*(1+Inputs!$C$39)^(D$4-1)*D6</f>
        <v>24000</v>
      </c>
      <c r="E24" s="5">
        <f>Inputs!$C$71*Inputs!$C$34*(1+Inputs!$C$39)^(E$4-1)*E6</f>
        <v>24480</v>
      </c>
      <c r="F24" s="5">
        <f>Inputs!$C$71*Inputs!$C$34*(1+Inputs!$C$39)^(F$4-1)*F6</f>
        <v>24969.599999999999</v>
      </c>
      <c r="G24" s="5">
        <f>Inputs!$C$71*Inputs!$C$34*(1+Inputs!$C$39)^(G$4-1)*G6</f>
        <v>25468.991999999998</v>
      </c>
      <c r="H24" s="5">
        <f>Inputs!$C$71*Inputs!$C$34*(1+Inputs!$C$39)^(H$4-1)*H6</f>
        <v>25978.37184</v>
      </c>
      <c r="I24" s="5">
        <f>Inputs!$C$71*Inputs!$C$34*(1+Inputs!$C$39)^(I$4-1)*I6</f>
        <v>26497.9392768</v>
      </c>
      <c r="J24" s="5">
        <f>Inputs!$C$71*Inputs!$C$34*(1+Inputs!$C$39)^(J$4-1)*J6</f>
        <v>27027.898062336</v>
      </c>
      <c r="K24" s="5">
        <f>Inputs!$C$71*Inputs!$C$34*(1+Inputs!$C$39)^(K$4-1)*K6</f>
        <v>27568.456023582716</v>
      </c>
      <c r="L24" s="5">
        <f>Inputs!$C$71*Inputs!$C$34*(1+Inputs!$C$39)^(L$4-1)*L6</f>
        <v>28119.825144054372</v>
      </c>
      <c r="M24" s="5">
        <f>Inputs!$C$71*Inputs!$C$34*(1+Inputs!$C$39)^(M$4-1)*M6</f>
        <v>28682.221646935461</v>
      </c>
      <c r="N24" s="5">
        <f>Inputs!$C$71*Inputs!$C$34*(1+Inputs!$C$39)^(N$4-1)*N6</f>
        <v>29255.866079874169</v>
      </c>
      <c r="O24" s="5">
        <f>Inputs!$C$71*Inputs!$C$34*(1+Inputs!$C$39)^(O$4-1)*O6</f>
        <v>29840.983401471647</v>
      </c>
      <c r="P24" s="5">
        <f>Inputs!$C$71*Inputs!$C$34*(1+Inputs!$C$39)^(P$4-1)*P6</f>
        <v>30437.803069501086</v>
      </c>
      <c r="Q24" s="5">
        <f>Inputs!$C$71*Inputs!$C$34*(1+Inputs!$C$39)^(Q$4-1)*Q6</f>
        <v>31046.559130891106</v>
      </c>
      <c r="R24" s="5">
        <f>Inputs!$C$71*Inputs!$C$34*(1+Inputs!$C$39)^(R$4-1)*R6</f>
        <v>31667.49031350893</v>
      </c>
      <c r="S24" s="5">
        <f>Inputs!$C$71*Inputs!$C$34*(1+Inputs!$C$39)^(S$4-1)*S6</f>
        <v>32300.840119779103</v>
      </c>
      <c r="T24" s="5">
        <f>Inputs!$C$71*Inputs!$C$34*(1+Inputs!$C$39)^(T$4-1)*T6</f>
        <v>32946.856922174687</v>
      </c>
      <c r="U24" s="5">
        <f>Inputs!$C$71*Inputs!$C$34*(1+Inputs!$C$39)^(U$4-1)*U6</f>
        <v>33605.794060618187</v>
      </c>
      <c r="V24" s="5">
        <f>Inputs!$C$71*Inputs!$C$34*(1+Inputs!$C$39)^(V$4-1)*V6</f>
        <v>34277.909941830549</v>
      </c>
      <c r="W24" s="5">
        <f>Inputs!$C$71*Inputs!$C$34*(1+Inputs!$C$39)^(W$4-1)*W6</f>
        <v>34963.468140667152</v>
      </c>
      <c r="X24" s="5">
        <f>Inputs!$C$71*Inputs!$C$34*(1+Inputs!$C$39)^(X$4-1)*X6</f>
        <v>35662.737503480501</v>
      </c>
      <c r="Y24" s="5">
        <f>Inputs!$C$71*Inputs!$C$34*(1+Inputs!$C$39)^(Y$4-1)*Y6</f>
        <v>36375.99225355011</v>
      </c>
      <c r="Z24" s="5">
        <f>Inputs!$C$71*Inputs!$C$34*(1+Inputs!$C$39)^(Z$4-1)*Z6</f>
        <v>37103.512098621111</v>
      </c>
      <c r="AA24" s="5">
        <f>Inputs!$C$71*Inputs!$C$34*(1+Inputs!$C$39)^(AA$4-1)*AA6</f>
        <v>37845.58234059353</v>
      </c>
      <c r="AB24" s="5">
        <f>Inputs!$C$71*Inputs!$C$34*(1+Inputs!$C$39)^(AB$4-1)*AB6</f>
        <v>38602.493987405403</v>
      </c>
    </row>
    <row r="25" spans="1:28" x14ac:dyDescent="0.25">
      <c r="A25" s="4" t="s">
        <v>348</v>
      </c>
      <c r="B25" s="2" t="s">
        <v>225</v>
      </c>
      <c r="D25" s="5">
        <f>Inputs!$C$35*(1+Inputs!$C$39)^(D$4-1)*D6</f>
        <v>20000</v>
      </c>
      <c r="E25" s="5">
        <f>Inputs!$C$35*(1+Inputs!$C$39)^(E$4-1)*E6</f>
        <v>20400</v>
      </c>
      <c r="F25" s="5">
        <f>Inputs!$C$35*(1+Inputs!$C$39)^(F$4-1)*F6</f>
        <v>20808</v>
      </c>
      <c r="G25" s="5">
        <f>Inputs!$C$35*(1+Inputs!$C$39)^(G$4-1)*G6</f>
        <v>21224.16</v>
      </c>
      <c r="H25" s="5">
        <f>Inputs!$C$35*(1+Inputs!$C$39)^(H$4-1)*H6</f>
        <v>21648.643199999999</v>
      </c>
      <c r="I25" s="5">
        <f>Inputs!$C$35*(1+Inputs!$C$39)^(I$4-1)*I6</f>
        <v>22081.616064000002</v>
      </c>
      <c r="J25" s="5">
        <f>Inputs!$C$35*(1+Inputs!$C$39)^(J$4-1)*J6</f>
        <v>22523.24838528</v>
      </c>
      <c r="K25" s="5">
        <f>Inputs!$C$35*(1+Inputs!$C$39)^(K$4-1)*K6</f>
        <v>22973.713352985596</v>
      </c>
      <c r="L25" s="5">
        <f>Inputs!$C$35*(1+Inputs!$C$39)^(L$4-1)*L6</f>
        <v>23433.187620045312</v>
      </c>
      <c r="M25" s="5">
        <f>Inputs!$C$35*(1+Inputs!$C$39)^(M$4-1)*M6</f>
        <v>23901.851372446217</v>
      </c>
      <c r="N25" s="5">
        <f>Inputs!$C$35*(1+Inputs!$C$39)^(N$4-1)*N6</f>
        <v>24379.888399895142</v>
      </c>
      <c r="O25" s="5">
        <f>Inputs!$C$35*(1+Inputs!$C$39)^(O$4-1)*O6</f>
        <v>24867.486167893039</v>
      </c>
      <c r="P25" s="5">
        <f>Inputs!$C$35*(1+Inputs!$C$39)^(P$4-1)*P6</f>
        <v>25364.835891250907</v>
      </c>
      <c r="Q25" s="5">
        <f>Inputs!$C$35*(1+Inputs!$C$39)^(Q$4-1)*Q6</f>
        <v>25872.132609075921</v>
      </c>
      <c r="R25" s="5">
        <f>Inputs!$C$35*(1+Inputs!$C$39)^(R$4-1)*R6</f>
        <v>26389.575261257443</v>
      </c>
      <c r="S25" s="5">
        <f>Inputs!$C$35*(1+Inputs!$C$39)^(S$4-1)*S6</f>
        <v>26917.366766482584</v>
      </c>
      <c r="T25" s="5">
        <f>Inputs!$C$35*(1+Inputs!$C$39)^(T$4-1)*T6</f>
        <v>27455.714101812242</v>
      </c>
      <c r="U25" s="5">
        <f>Inputs!$C$35*(1+Inputs!$C$39)^(U$4-1)*U6</f>
        <v>28004.828383848489</v>
      </c>
      <c r="V25" s="5">
        <f>Inputs!$C$35*(1+Inputs!$C$39)^(V$4-1)*V6</f>
        <v>28564.924951525456</v>
      </c>
      <c r="W25" s="5">
        <f>Inputs!$C$35*(1+Inputs!$C$39)^(W$4-1)*W6</f>
        <v>29136.223450555961</v>
      </c>
      <c r="X25" s="5">
        <f>Inputs!$C$35*(1+Inputs!$C$39)^(X$4-1)*X6</f>
        <v>29718.947919567087</v>
      </c>
      <c r="Y25" s="5">
        <f>Inputs!$C$35*(1+Inputs!$C$39)^(Y$4-1)*Y6</f>
        <v>30313.326877958425</v>
      </c>
      <c r="Z25" s="5">
        <f>Inputs!$C$35*(1+Inputs!$C$39)^(Z$4-1)*Z6</f>
        <v>30919.593415517593</v>
      </c>
      <c r="AA25" s="5">
        <f>Inputs!$C$35*(1+Inputs!$C$39)^(AA$4-1)*AA6</f>
        <v>31537.98528382794</v>
      </c>
      <c r="AB25" s="5">
        <f>Inputs!$C$35*(1+Inputs!$C$39)^(AB$4-1)*AB6</f>
        <v>32168.744989504499</v>
      </c>
    </row>
    <row r="26" spans="1:28" x14ac:dyDescent="0.25">
      <c r="A26" s="4" t="s">
        <v>349</v>
      </c>
      <c r="B26" s="2" t="s">
        <v>225</v>
      </c>
      <c r="D26" s="5">
        <f>Inputs!$C$36*Inputs!$C$7*(1+Inputs!$C$39)^(D$4-1)*D6</f>
        <v>4000</v>
      </c>
      <c r="E26" s="5">
        <f>Inputs!$C$36*Inputs!$C$7*(1+Inputs!$C$39)^(E$4-1)*E6</f>
        <v>4080</v>
      </c>
      <c r="F26" s="5">
        <f>Inputs!$C$36*Inputs!$C$7*(1+Inputs!$C$39)^(F$4-1)*F6</f>
        <v>4161.6000000000004</v>
      </c>
      <c r="G26" s="5">
        <f>Inputs!$C$36*Inputs!$C$7*(1+Inputs!$C$39)^(G$4-1)*G6</f>
        <v>4244.8319999999994</v>
      </c>
      <c r="H26" s="5">
        <f>Inputs!$C$36*Inputs!$C$7*(1+Inputs!$C$39)^(H$4-1)*H6</f>
        <v>4329.7286400000003</v>
      </c>
      <c r="I26" s="5">
        <f>Inputs!$C$36*Inputs!$C$7*(1+Inputs!$C$39)^(I$4-1)*I6</f>
        <v>4416.3232128</v>
      </c>
      <c r="J26" s="5">
        <f>Inputs!$C$36*Inputs!$C$7*(1+Inputs!$C$39)^(J$4-1)*J6</f>
        <v>4504.6496770560007</v>
      </c>
      <c r="K26" s="5">
        <f>Inputs!$C$36*Inputs!$C$7*(1+Inputs!$C$39)^(K$4-1)*K6</f>
        <v>4594.7426705971193</v>
      </c>
      <c r="L26" s="5">
        <f>Inputs!$C$36*Inputs!$C$7*(1+Inputs!$C$39)^(L$4-1)*L6</f>
        <v>4686.637524009062</v>
      </c>
      <c r="M26" s="5">
        <f>Inputs!$C$36*Inputs!$C$7*(1+Inputs!$C$39)^(M$4-1)*M6</f>
        <v>4780.3702744892435</v>
      </c>
      <c r="N26" s="5">
        <f>Inputs!$C$36*Inputs!$C$7*(1+Inputs!$C$39)^(N$4-1)*N6</f>
        <v>4875.9776799790288</v>
      </c>
      <c r="O26" s="5">
        <f>Inputs!$C$36*Inputs!$C$7*(1+Inputs!$C$39)^(O$4-1)*O6</f>
        <v>4973.4972335786078</v>
      </c>
      <c r="P26" s="5">
        <f>Inputs!$C$36*Inputs!$C$7*(1+Inputs!$C$39)^(P$4-1)*P6</f>
        <v>5072.967178250181</v>
      </c>
      <c r="Q26" s="5">
        <f>Inputs!$C$36*Inputs!$C$7*(1+Inputs!$C$39)^(Q$4-1)*Q6</f>
        <v>5174.4265218151841</v>
      </c>
      <c r="R26" s="5">
        <f>Inputs!$C$36*Inputs!$C$7*(1+Inputs!$C$39)^(R$4-1)*R6</f>
        <v>5277.9150522514883</v>
      </c>
      <c r="S26" s="5">
        <f>Inputs!$C$36*Inputs!$C$7*(1+Inputs!$C$39)^(S$4-1)*S6</f>
        <v>5383.4733532965165</v>
      </c>
      <c r="T26" s="5">
        <f>Inputs!$C$36*Inputs!$C$7*(1+Inputs!$C$39)^(T$4-1)*T6</f>
        <v>5491.1428203624482</v>
      </c>
      <c r="U26" s="5">
        <f>Inputs!$C$36*Inputs!$C$7*(1+Inputs!$C$39)^(U$4-1)*U6</f>
        <v>5600.9656767696979</v>
      </c>
      <c r="V26" s="5">
        <f>Inputs!$C$36*Inputs!$C$7*(1+Inputs!$C$39)^(V$4-1)*V6</f>
        <v>5712.9849903050908</v>
      </c>
      <c r="W26" s="5">
        <f>Inputs!$C$36*Inputs!$C$7*(1+Inputs!$C$39)^(W$4-1)*W6</f>
        <v>5827.2446901111925</v>
      </c>
      <c r="X26" s="5">
        <f>Inputs!$C$36*Inputs!$C$7*(1+Inputs!$C$39)^(X$4-1)*X6</f>
        <v>5943.7895839134171</v>
      </c>
      <c r="Y26" s="5">
        <f>Inputs!$C$36*Inputs!$C$7*(1+Inputs!$C$39)^(Y$4-1)*Y6</f>
        <v>6062.665375591685</v>
      </c>
      <c r="Z26" s="5">
        <f>Inputs!$C$36*Inputs!$C$7*(1+Inputs!$C$39)^(Z$4-1)*Z6</f>
        <v>6183.9186831035186</v>
      </c>
      <c r="AA26" s="5">
        <f>Inputs!$C$36*Inputs!$C$7*(1+Inputs!$C$39)^(AA$4-1)*AA6</f>
        <v>6307.5970567655877</v>
      </c>
      <c r="AB26" s="5">
        <f>Inputs!$C$36*Inputs!$C$7*(1+Inputs!$C$39)^(AB$4-1)*AB6</f>
        <v>6433.7489979009006</v>
      </c>
    </row>
    <row r="27" spans="1:28" x14ac:dyDescent="0.25">
      <c r="A27" s="4" t="s">
        <v>195</v>
      </c>
      <c r="B27" s="2" t="s">
        <v>225</v>
      </c>
      <c r="D27" s="5">
        <f>Inputs!$C$71*Inputs!$C$37*(1+Inputs!$C$39)^(D$4-1)*D6</f>
        <v>24000</v>
      </c>
      <c r="E27" s="5">
        <f>Inputs!$C$71*Inputs!$C$37*(1+Inputs!$C$39)^(E$4-1)*E6</f>
        <v>24480</v>
      </c>
      <c r="F27" s="5">
        <f>Inputs!$C$71*Inputs!$C$37*(1+Inputs!$C$39)^(F$4-1)*F6</f>
        <v>24969.599999999999</v>
      </c>
      <c r="G27" s="5">
        <f>Inputs!$C$71*Inputs!$C$37*(1+Inputs!$C$39)^(G$4-1)*G6</f>
        <v>25468.991999999998</v>
      </c>
      <c r="H27" s="5">
        <f>Inputs!$C$71*Inputs!$C$37*(1+Inputs!$C$39)^(H$4-1)*H6</f>
        <v>25978.37184</v>
      </c>
      <c r="I27" s="5">
        <f>Inputs!$C$71*Inputs!$C$37*(1+Inputs!$C$39)^(I$4-1)*I6</f>
        <v>26497.9392768</v>
      </c>
      <c r="J27" s="5">
        <f>Inputs!$C$71*Inputs!$C$37*(1+Inputs!$C$39)^(J$4-1)*J6</f>
        <v>27027.898062336</v>
      </c>
      <c r="K27" s="5">
        <f>Inputs!$C$71*Inputs!$C$37*(1+Inputs!$C$39)^(K$4-1)*K6</f>
        <v>27568.456023582716</v>
      </c>
      <c r="L27" s="5">
        <f>Inputs!$C$71*Inputs!$C$37*(1+Inputs!$C$39)^(L$4-1)*L6</f>
        <v>28119.825144054372</v>
      </c>
      <c r="M27" s="5">
        <f>Inputs!$C$71*Inputs!$C$37*(1+Inputs!$C$39)^(M$4-1)*M6</f>
        <v>28682.221646935461</v>
      </c>
      <c r="N27" s="5">
        <f>Inputs!$C$71*Inputs!$C$37*(1+Inputs!$C$39)^(N$4-1)*N6</f>
        <v>29255.866079874169</v>
      </c>
      <c r="O27" s="5">
        <f>Inputs!$C$71*Inputs!$C$37*(1+Inputs!$C$39)^(O$4-1)*O6</f>
        <v>29840.983401471647</v>
      </c>
      <c r="P27" s="5">
        <f>Inputs!$C$71*Inputs!$C$37*(1+Inputs!$C$39)^(P$4-1)*P6</f>
        <v>30437.803069501086</v>
      </c>
      <c r="Q27" s="5">
        <f>Inputs!$C$71*Inputs!$C$37*(1+Inputs!$C$39)^(Q$4-1)*Q6</f>
        <v>31046.559130891106</v>
      </c>
      <c r="R27" s="5">
        <f>Inputs!$C$71*Inputs!$C$37*(1+Inputs!$C$39)^(R$4-1)*R6</f>
        <v>31667.49031350893</v>
      </c>
      <c r="S27" s="5">
        <f>Inputs!$C$71*Inputs!$C$37*(1+Inputs!$C$39)^(S$4-1)*S6</f>
        <v>32300.840119779103</v>
      </c>
      <c r="T27" s="5">
        <f>Inputs!$C$71*Inputs!$C$37*(1+Inputs!$C$39)^(T$4-1)*T6</f>
        <v>32946.856922174687</v>
      </c>
      <c r="U27" s="5">
        <f>Inputs!$C$71*Inputs!$C$37*(1+Inputs!$C$39)^(U$4-1)*U6</f>
        <v>33605.794060618187</v>
      </c>
      <c r="V27" s="5">
        <f>Inputs!$C$71*Inputs!$C$37*(1+Inputs!$C$39)^(V$4-1)*V6</f>
        <v>34277.909941830549</v>
      </c>
      <c r="W27" s="5">
        <f>Inputs!$C$71*Inputs!$C$37*(1+Inputs!$C$39)^(W$4-1)*W6</f>
        <v>34963.468140667152</v>
      </c>
      <c r="X27" s="5">
        <f>Inputs!$C$71*Inputs!$C$37*(1+Inputs!$C$39)^(X$4-1)*X6</f>
        <v>35662.737503480501</v>
      </c>
      <c r="Y27" s="5">
        <f>Inputs!$C$71*Inputs!$C$37*(1+Inputs!$C$39)^(Y$4-1)*Y6</f>
        <v>36375.99225355011</v>
      </c>
      <c r="Z27" s="5">
        <f>Inputs!$C$71*Inputs!$C$37*(1+Inputs!$C$39)^(Z$4-1)*Z6</f>
        <v>37103.512098621111</v>
      </c>
      <c r="AA27" s="5">
        <f>Inputs!$C$71*Inputs!$C$37*(1+Inputs!$C$39)^(AA$4-1)*AA6</f>
        <v>37845.58234059353</v>
      </c>
      <c r="AB27" s="5">
        <f>Inputs!$C$71*Inputs!$C$37*(1+Inputs!$C$39)^(AB$4-1)*AB6</f>
        <v>38602.493987405403</v>
      </c>
    </row>
    <row r="28" spans="1:28" x14ac:dyDescent="0.25">
      <c r="A28" s="4" t="s">
        <v>350</v>
      </c>
      <c r="B28" s="2" t="s">
        <v>225</v>
      </c>
      <c r="D28" s="5">
        <f>Inputs!$C$38*(1+Inputs!$C$39)^(D$4-1)*D6*IF(D$4&lt;=Inputs!$C$51,1,0)</f>
        <v>20000</v>
      </c>
      <c r="E28" s="5">
        <f>Inputs!$C$38*(1+Inputs!$C$39)^(E$4-1)*E6*IF(E$4&lt;=Inputs!$C$51,1,0)</f>
        <v>20400</v>
      </c>
      <c r="F28" s="5">
        <f>Inputs!$C$38*(1+Inputs!$C$39)^(F$4-1)*F6*IF(F$4&lt;=Inputs!$C$51,1,0)</f>
        <v>20808</v>
      </c>
      <c r="G28" s="5">
        <f>Inputs!$C$38*(1+Inputs!$C$39)^(G$4-1)*G6*IF(G$4&lt;=Inputs!$C$51,1,0)</f>
        <v>21224.16</v>
      </c>
      <c r="H28" s="5">
        <f>Inputs!$C$38*(1+Inputs!$C$39)^(H$4-1)*H6*IF(H$4&lt;=Inputs!$C$51,1,0)</f>
        <v>21648.643199999999</v>
      </c>
      <c r="I28" s="5">
        <f>Inputs!$C$38*(1+Inputs!$C$39)^(I$4-1)*I6*IF(I$4&lt;=Inputs!$C$51,1,0)</f>
        <v>22081.616064000002</v>
      </c>
      <c r="J28" s="5">
        <f>Inputs!$C$38*(1+Inputs!$C$39)^(J$4-1)*J6*IF(J$4&lt;=Inputs!$C$51,1,0)</f>
        <v>22523.24838528</v>
      </c>
      <c r="K28" s="5">
        <f>Inputs!$C$38*(1+Inputs!$C$39)^(K$4-1)*K6*IF(K$4&lt;=Inputs!$C$51,1,0)</f>
        <v>22973.713352985596</v>
      </c>
      <c r="L28" s="5">
        <f>Inputs!$C$38*(1+Inputs!$C$39)^(L$4-1)*L6*IF(L$4&lt;=Inputs!$C$51,1,0)</f>
        <v>23433.187620045312</v>
      </c>
      <c r="M28" s="5">
        <f>Inputs!$C$38*(1+Inputs!$C$39)^(M$4-1)*M6*IF(M$4&lt;=Inputs!$C$51,1,0)</f>
        <v>23901.851372446217</v>
      </c>
      <c r="N28" s="5">
        <f>Inputs!$C$38*(1+Inputs!$C$39)^(N$4-1)*N6*IF(N$4&lt;=Inputs!$C$51,1,0)</f>
        <v>24379.888399895142</v>
      </c>
      <c r="O28" s="5">
        <f>Inputs!$C$38*(1+Inputs!$C$39)^(O$4-1)*O6*IF(O$4&lt;=Inputs!$C$51,1,0)</f>
        <v>24867.486167893039</v>
      </c>
      <c r="P28" s="5">
        <f>Inputs!$C$38*(1+Inputs!$C$39)^(P$4-1)*P6*IF(P$4&lt;=Inputs!$C$51,1,0)</f>
        <v>25364.835891250907</v>
      </c>
      <c r="Q28" s="5">
        <f>Inputs!$C$38*(1+Inputs!$C$39)^(Q$4-1)*Q6*IF(Q$4&lt;=Inputs!$C$51,1,0)</f>
        <v>25872.132609075921</v>
      </c>
      <c r="R28" s="5">
        <f>Inputs!$C$38*(1+Inputs!$C$39)^(R$4-1)*R6*IF(R$4&lt;=Inputs!$C$51,1,0)</f>
        <v>26389.575261257443</v>
      </c>
      <c r="S28" s="5">
        <f>Inputs!$C$38*(1+Inputs!$C$39)^(S$4-1)*S6*IF(S$4&lt;=Inputs!$C$51,1,0)</f>
        <v>0</v>
      </c>
      <c r="T28" s="5">
        <f>Inputs!$C$38*(1+Inputs!$C$39)^(T$4-1)*T6*IF(T$4&lt;=Inputs!$C$51,1,0)</f>
        <v>0</v>
      </c>
      <c r="U28" s="5">
        <f>Inputs!$C$38*(1+Inputs!$C$39)^(U$4-1)*U6*IF(U$4&lt;=Inputs!$C$51,1,0)</f>
        <v>0</v>
      </c>
      <c r="V28" s="5">
        <f>Inputs!$C$38*(1+Inputs!$C$39)^(V$4-1)*V6*IF(V$4&lt;=Inputs!$C$51,1,0)</f>
        <v>0</v>
      </c>
      <c r="W28" s="5">
        <f>Inputs!$C$38*(1+Inputs!$C$39)^(W$4-1)*W6*IF(W$4&lt;=Inputs!$C$51,1,0)</f>
        <v>0</v>
      </c>
      <c r="X28" s="5">
        <f>Inputs!$C$38*(1+Inputs!$C$39)^(X$4-1)*X6*IF(X$4&lt;=Inputs!$C$51,1,0)</f>
        <v>0</v>
      </c>
      <c r="Y28" s="5">
        <f>Inputs!$C$38*(1+Inputs!$C$39)^(Y$4-1)*Y6*IF(Y$4&lt;=Inputs!$C$51,1,0)</f>
        <v>0</v>
      </c>
      <c r="Z28" s="5">
        <f>Inputs!$C$38*(1+Inputs!$C$39)^(Z$4-1)*Z6*IF(Z$4&lt;=Inputs!$C$51,1,0)</f>
        <v>0</v>
      </c>
      <c r="AA28" s="5">
        <f>Inputs!$C$38*(1+Inputs!$C$39)^(AA$4-1)*AA6*IF(AA$4&lt;=Inputs!$C$51,1,0)</f>
        <v>0</v>
      </c>
      <c r="AB28" s="5">
        <f>Inputs!$C$38*(1+Inputs!$C$39)^(AB$4-1)*AB6*IF(AB$4&lt;=Inputs!$C$51,1,0)</f>
        <v>0</v>
      </c>
    </row>
    <row r="29" spans="1:28" x14ac:dyDescent="0.25">
      <c r="A29" s="3" t="s">
        <v>351</v>
      </c>
      <c r="B29" s="2" t="s">
        <v>225</v>
      </c>
      <c r="D29" s="25">
        <f t="shared" ref="D29:AB29" si="5">SUM(D22:D28)</f>
        <v>167000</v>
      </c>
      <c r="E29" s="25">
        <f t="shared" si="5"/>
        <v>170340</v>
      </c>
      <c r="F29" s="25">
        <f t="shared" si="5"/>
        <v>173746.80000000002</v>
      </c>
      <c r="G29" s="25">
        <f t="shared" si="5"/>
        <v>177221.736</v>
      </c>
      <c r="H29" s="25">
        <f t="shared" si="5"/>
        <v>180766.17071999997</v>
      </c>
      <c r="I29" s="25">
        <f t="shared" si="5"/>
        <v>184381.49413439998</v>
      </c>
      <c r="J29" s="25">
        <f t="shared" si="5"/>
        <v>188069.124017088</v>
      </c>
      <c r="K29" s="25">
        <f t="shared" si="5"/>
        <v>191830.50649742974</v>
      </c>
      <c r="L29" s="25">
        <f t="shared" si="5"/>
        <v>195667.11662737833</v>
      </c>
      <c r="M29" s="25">
        <f t="shared" si="5"/>
        <v>199580.45895992592</v>
      </c>
      <c r="N29" s="25">
        <f t="shared" si="5"/>
        <v>203572.0681391244</v>
      </c>
      <c r="O29" s="25">
        <f t="shared" si="5"/>
        <v>207643.50950190693</v>
      </c>
      <c r="P29" s="25">
        <f t="shared" si="5"/>
        <v>211796.37969194504</v>
      </c>
      <c r="Q29" s="25">
        <f t="shared" si="5"/>
        <v>216032.30728578396</v>
      </c>
      <c r="R29" s="25">
        <f t="shared" si="5"/>
        <v>220352.95343149963</v>
      </c>
      <c r="S29" s="25">
        <f t="shared" si="5"/>
        <v>197842.64573364702</v>
      </c>
      <c r="T29" s="25">
        <f t="shared" si="5"/>
        <v>201799.49864831998</v>
      </c>
      <c r="U29" s="25">
        <f t="shared" si="5"/>
        <v>205835.48862128638</v>
      </c>
      <c r="V29" s="25">
        <f t="shared" si="5"/>
        <v>209952.19839371211</v>
      </c>
      <c r="W29" s="25">
        <f t="shared" si="5"/>
        <v>214151.24236158634</v>
      </c>
      <c r="X29" s="25">
        <f t="shared" si="5"/>
        <v>218434.26720881811</v>
      </c>
      <c r="Y29" s="25">
        <f t="shared" si="5"/>
        <v>222802.95255299442</v>
      </c>
      <c r="Z29" s="25">
        <f t="shared" si="5"/>
        <v>227259.01160405431</v>
      </c>
      <c r="AA29" s="25">
        <f t="shared" si="5"/>
        <v>231804.19183613537</v>
      </c>
      <c r="AB29" s="25">
        <f t="shared" si="5"/>
        <v>236440.27567285806</v>
      </c>
    </row>
    <row r="30" spans="1:28" x14ac:dyDescent="0.25">
      <c r="A30" s="3" t="s">
        <v>352</v>
      </c>
      <c r="B30" s="2" t="s">
        <v>225</v>
      </c>
      <c r="D30" s="25">
        <f t="shared" ref="D30:AB30" si="6">D20-D29</f>
        <v>284885.5</v>
      </c>
      <c r="E30" s="25">
        <f t="shared" si="6"/>
        <v>279737.95799999998</v>
      </c>
      <c r="F30" s="25">
        <f t="shared" si="6"/>
        <v>274530.84616800002</v>
      </c>
      <c r="G30" s="25">
        <f t="shared" si="6"/>
        <v>269262.79958332796</v>
      </c>
      <c r="H30" s="25">
        <f t="shared" si="6"/>
        <v>263932.42672099464</v>
      </c>
      <c r="I30" s="25">
        <f t="shared" si="6"/>
        <v>258538.30891683069</v>
      </c>
      <c r="J30" s="25">
        <f t="shared" si="6"/>
        <v>253078.99982193773</v>
      </c>
      <c r="K30" s="25">
        <f t="shared" si="6"/>
        <v>247553.02484623989</v>
      </c>
      <c r="L30" s="25">
        <f t="shared" si="6"/>
        <v>241958.88059091667</v>
      </c>
      <c r="M30" s="25">
        <f t="shared" si="6"/>
        <v>236295.03426949593</v>
      </c>
      <c r="N30" s="25">
        <f t="shared" si="6"/>
        <v>230559.92311737975</v>
      </c>
      <c r="O30" s="25">
        <f t="shared" si="6"/>
        <v>224751.95378957118</v>
      </c>
      <c r="P30" s="25">
        <f t="shared" si="6"/>
        <v>218869.50174636714</v>
      </c>
      <c r="Q30" s="25">
        <f t="shared" si="6"/>
        <v>212910.91062677509</v>
      </c>
      <c r="R30" s="25">
        <f t="shared" si="6"/>
        <v>206874.49160940913</v>
      </c>
      <c r="S30" s="25">
        <f t="shared" si="6"/>
        <v>37080.502224963449</v>
      </c>
      <c r="T30" s="25">
        <f t="shared" si="6"/>
        <v>32183.956718456087</v>
      </c>
      <c r="U30" s="25">
        <f t="shared" si="6"/>
        <v>27212.032924022555</v>
      </c>
      <c r="V30" s="25">
        <f t="shared" si="6"/>
        <v>22163.133065415634</v>
      </c>
      <c r="W30" s="25">
        <f t="shared" si="6"/>
        <v>17035.627771704865</v>
      </c>
      <c r="X30" s="25">
        <f t="shared" si="6"/>
        <v>11827.855443939945</v>
      </c>
      <c r="Y30" s="25">
        <f t="shared" si="6"/>
        <v>6538.1216091525857</v>
      </c>
      <c r="Z30" s="25">
        <f t="shared" si="6"/>
        <v>1164.6982614441658</v>
      </c>
      <c r="AA30" s="25">
        <f t="shared" si="6"/>
        <v>-4294.1768100989284</v>
      </c>
      <c r="AB30" s="25">
        <f t="shared" si="6"/>
        <v>-9840.3007069257728</v>
      </c>
    </row>
    <row r="31" spans="1:28" x14ac:dyDescent="0.25">
      <c r="A31" s="31" t="s">
        <v>353</v>
      </c>
    </row>
    <row r="32" spans="1:28" x14ac:dyDescent="0.25">
      <c r="A32" s="4" t="s">
        <v>354</v>
      </c>
      <c r="B32" s="2" t="s">
        <v>225</v>
      </c>
      <c r="D32" s="5">
        <f>Inputs!$C$71*Inputs!$C$13/Inputs!$C$42*IF(D$4&lt;=Inputs!$C$42,1,0)*D6</f>
        <v>240000</v>
      </c>
      <c r="E32" s="5">
        <f>Inputs!$C$71*Inputs!$C$13/Inputs!$C$42*IF(E$4&lt;=Inputs!$C$42,1,0)*E6</f>
        <v>240000</v>
      </c>
      <c r="F32" s="5">
        <f>Inputs!$C$71*Inputs!$C$13/Inputs!$C$42*IF(F$4&lt;=Inputs!$C$42,1,0)*F6</f>
        <v>240000</v>
      </c>
      <c r="G32" s="5">
        <f>Inputs!$C$71*Inputs!$C$13/Inputs!$C$42*IF(G$4&lt;=Inputs!$C$42,1,0)*G6</f>
        <v>240000</v>
      </c>
      <c r="H32" s="5">
        <f>Inputs!$C$71*Inputs!$C$13/Inputs!$C$42*IF(H$4&lt;=Inputs!$C$42,1,0)*H6</f>
        <v>240000</v>
      </c>
      <c r="I32" s="5">
        <f>Inputs!$C$71*Inputs!$C$13/Inputs!$C$42*IF(I$4&lt;=Inputs!$C$42,1,0)*I6</f>
        <v>240000</v>
      </c>
      <c r="J32" s="5">
        <f>Inputs!$C$71*Inputs!$C$13/Inputs!$C$42*IF(J$4&lt;=Inputs!$C$42,1,0)*J6</f>
        <v>240000</v>
      </c>
      <c r="K32" s="5">
        <f>Inputs!$C$71*Inputs!$C$13/Inputs!$C$42*IF(K$4&lt;=Inputs!$C$42,1,0)*K6</f>
        <v>240000</v>
      </c>
      <c r="L32" s="5">
        <f>Inputs!$C$71*Inputs!$C$13/Inputs!$C$42*IF(L$4&lt;=Inputs!$C$42,1,0)*L6</f>
        <v>240000</v>
      </c>
      <c r="M32" s="5">
        <f>Inputs!$C$71*Inputs!$C$13/Inputs!$C$42*IF(M$4&lt;=Inputs!$C$42,1,0)*M6</f>
        <v>240000</v>
      </c>
      <c r="N32" s="5">
        <f>Inputs!$C$71*Inputs!$C$13/Inputs!$C$42*IF(N$4&lt;=Inputs!$C$42,1,0)*N6</f>
        <v>240000</v>
      </c>
      <c r="O32" s="5">
        <f>Inputs!$C$71*Inputs!$C$13/Inputs!$C$42*IF(O$4&lt;=Inputs!$C$42,1,0)*O6</f>
        <v>240000</v>
      </c>
      <c r="P32" s="5">
        <f>Inputs!$C$71*Inputs!$C$13/Inputs!$C$42*IF(P$4&lt;=Inputs!$C$42,1,0)*P6</f>
        <v>240000</v>
      </c>
      <c r="Q32" s="5">
        <f>Inputs!$C$71*Inputs!$C$13/Inputs!$C$42*IF(Q$4&lt;=Inputs!$C$42,1,0)*Q6</f>
        <v>240000</v>
      </c>
      <c r="R32" s="5">
        <f>Inputs!$C$71*Inputs!$C$13/Inputs!$C$42*IF(R$4&lt;=Inputs!$C$42,1,0)*R6</f>
        <v>240000</v>
      </c>
      <c r="S32" s="5">
        <f>Inputs!$C$71*Inputs!$C$13/Inputs!$C$42*IF(S$4&lt;=Inputs!$C$42,1,0)*S6</f>
        <v>240000</v>
      </c>
      <c r="T32" s="5">
        <f>Inputs!$C$71*Inputs!$C$13/Inputs!$C$42*IF(T$4&lt;=Inputs!$C$42,1,0)*T6</f>
        <v>240000</v>
      </c>
      <c r="U32" s="5">
        <f>Inputs!$C$71*Inputs!$C$13/Inputs!$C$42*IF(U$4&lt;=Inputs!$C$42,1,0)*U6</f>
        <v>240000</v>
      </c>
      <c r="V32" s="5">
        <f>Inputs!$C$71*Inputs!$C$13/Inputs!$C$42*IF(V$4&lt;=Inputs!$C$42,1,0)*V6</f>
        <v>240000</v>
      </c>
      <c r="W32" s="5">
        <f>Inputs!$C$71*Inputs!$C$13/Inputs!$C$42*IF(W$4&lt;=Inputs!$C$42,1,0)*W6</f>
        <v>240000</v>
      </c>
      <c r="X32" s="5">
        <f>Inputs!$C$71*Inputs!$C$13/Inputs!$C$42*IF(X$4&lt;=Inputs!$C$42,1,0)*X6</f>
        <v>0</v>
      </c>
      <c r="Y32" s="5">
        <f>Inputs!$C$71*Inputs!$C$13/Inputs!$C$42*IF(Y$4&lt;=Inputs!$C$42,1,0)*Y6</f>
        <v>0</v>
      </c>
      <c r="Z32" s="5">
        <f>Inputs!$C$71*Inputs!$C$13/Inputs!$C$42*IF(Z$4&lt;=Inputs!$C$42,1,0)*Z6</f>
        <v>0</v>
      </c>
      <c r="AA32" s="5">
        <f>Inputs!$C$71*Inputs!$C$13/Inputs!$C$42*IF(AA$4&lt;=Inputs!$C$42,1,0)*AA6</f>
        <v>0</v>
      </c>
      <c r="AB32" s="5">
        <f>Inputs!$C$71*Inputs!$C$13/Inputs!$C$42*IF(AB$4&lt;=Inputs!$C$42,1,0)*AB6</f>
        <v>0</v>
      </c>
    </row>
    <row r="33" spans="1:28" x14ac:dyDescent="0.25">
      <c r="A33" s="4" t="s">
        <v>355</v>
      </c>
      <c r="B33" s="2" t="s">
        <v>225</v>
      </c>
      <c r="D33" s="5">
        <f>MAX(0,(D30-D32)*Inputs!$C$41)</f>
        <v>10714.16885</v>
      </c>
      <c r="E33" s="5">
        <f>MAX(0,(E30-E32)*Inputs!$C$41)</f>
        <v>9485.4505745999959</v>
      </c>
      <c r="F33" s="5">
        <f>MAX(0,(F30-F32)*Inputs!$C$41)</f>
        <v>8242.5129803016043</v>
      </c>
      <c r="G33" s="5">
        <f>MAX(0,(G30-G32)*Inputs!$C$41)</f>
        <v>6985.0302605403831</v>
      </c>
      <c r="H33" s="5">
        <f>MAX(0,(H30-H32)*Inputs!$C$41)</f>
        <v>5712.6702583014203</v>
      </c>
      <c r="I33" s="5">
        <f>MAX(0,(I30-I32)*Inputs!$C$41)</f>
        <v>4425.0943384474858</v>
      </c>
      <c r="J33" s="5">
        <f>MAX(0,(J30-J32)*Inputs!$C$41)</f>
        <v>3121.9572574965364</v>
      </c>
      <c r="K33" s="5">
        <f>MAX(0,(K30-K32)*Inputs!$C$41)</f>
        <v>1802.9070307974614</v>
      </c>
      <c r="L33" s="5">
        <f>MAX(0,(L30-L32)*Inputs!$C$41)</f>
        <v>467.58479705180901</v>
      </c>
      <c r="M33" s="5">
        <f>MAX(0,(M30-M32)*Inputs!$C$41)</f>
        <v>0</v>
      </c>
      <c r="N33" s="5">
        <f>MAX(0,(N30-N32)*Inputs!$C$41)</f>
        <v>0</v>
      </c>
      <c r="O33" s="5">
        <f>MAX(0,(O30-O32)*Inputs!$C$41)</f>
        <v>0</v>
      </c>
      <c r="P33" s="5">
        <f>MAX(0,(P30-P32)*Inputs!$C$41)</f>
        <v>0</v>
      </c>
      <c r="Q33" s="5">
        <f>MAX(0,(Q30-Q32)*Inputs!$C$41)</f>
        <v>0</v>
      </c>
      <c r="R33" s="5">
        <f>MAX(0,(R30-R32)*Inputs!$C$41)</f>
        <v>0</v>
      </c>
      <c r="S33" s="5">
        <f>MAX(0,(S30-S32)*Inputs!$C$41)</f>
        <v>0</v>
      </c>
      <c r="T33" s="5">
        <f>MAX(0,(T30-T32)*Inputs!$C$41)</f>
        <v>0</v>
      </c>
      <c r="U33" s="5">
        <f>MAX(0,(U30-U32)*Inputs!$C$41)</f>
        <v>0</v>
      </c>
      <c r="V33" s="5">
        <f>MAX(0,(V30-V32)*Inputs!$C$41)</f>
        <v>0</v>
      </c>
      <c r="W33" s="5">
        <f>MAX(0,(W30-W32)*Inputs!$C$41)</f>
        <v>0</v>
      </c>
      <c r="X33" s="5">
        <f>MAX(0,(X30-X32)*Inputs!$C$41)</f>
        <v>2823.309094468465</v>
      </c>
      <c r="Y33" s="5">
        <f>MAX(0,(Y30-Y32)*Inputs!$C$41)</f>
        <v>1560.6496281047223</v>
      </c>
      <c r="Z33" s="5">
        <f>MAX(0,(Z30-Z32)*Inputs!$C$41)</f>
        <v>278.01347500672239</v>
      </c>
      <c r="AA33" s="5">
        <f>MAX(0,(AA30-AA32)*Inputs!$C$41)</f>
        <v>0</v>
      </c>
      <c r="AB33" s="5">
        <f>MAX(0,(AB30-AB32)*Inputs!$C$41)</f>
        <v>0</v>
      </c>
    </row>
    <row r="34" spans="1:28" x14ac:dyDescent="0.25">
      <c r="A34" s="4" t="s">
        <v>356</v>
      </c>
      <c r="B34" s="2" t="s">
        <v>225</v>
      </c>
      <c r="D34" s="5">
        <f>Inputs!$C$71*Inputs!$C$13</f>
        <v>4800000</v>
      </c>
      <c r="E34" s="5">
        <f t="shared" ref="E34:AB34" si="7">MAX(0,D34-D32)</f>
        <v>4560000</v>
      </c>
      <c r="F34" s="5">
        <f t="shared" si="7"/>
        <v>4320000</v>
      </c>
      <c r="G34" s="5">
        <f t="shared" si="7"/>
        <v>4080000</v>
      </c>
      <c r="H34" s="5">
        <f t="shared" si="7"/>
        <v>3840000</v>
      </c>
      <c r="I34" s="5">
        <f t="shared" si="7"/>
        <v>3600000</v>
      </c>
      <c r="J34" s="5">
        <f t="shared" si="7"/>
        <v>3360000</v>
      </c>
      <c r="K34" s="5">
        <f t="shared" si="7"/>
        <v>3120000</v>
      </c>
      <c r="L34" s="5">
        <f t="shared" si="7"/>
        <v>2880000</v>
      </c>
      <c r="M34" s="5">
        <f t="shared" si="7"/>
        <v>2640000</v>
      </c>
      <c r="N34" s="5">
        <f t="shared" si="7"/>
        <v>2400000</v>
      </c>
      <c r="O34" s="5">
        <f t="shared" si="7"/>
        <v>2160000</v>
      </c>
      <c r="P34" s="5">
        <f t="shared" si="7"/>
        <v>1920000</v>
      </c>
      <c r="Q34" s="5">
        <f t="shared" si="7"/>
        <v>1680000</v>
      </c>
      <c r="R34" s="5">
        <f t="shared" si="7"/>
        <v>1440000</v>
      </c>
      <c r="S34" s="5">
        <f t="shared" si="7"/>
        <v>1200000</v>
      </c>
      <c r="T34" s="5">
        <f t="shared" si="7"/>
        <v>960000</v>
      </c>
      <c r="U34" s="5">
        <f t="shared" si="7"/>
        <v>720000</v>
      </c>
      <c r="V34" s="5">
        <f t="shared" si="7"/>
        <v>480000</v>
      </c>
      <c r="W34" s="5">
        <f t="shared" si="7"/>
        <v>240000</v>
      </c>
      <c r="X34" s="5">
        <f t="shared" si="7"/>
        <v>0</v>
      </c>
      <c r="Y34" s="5">
        <f t="shared" si="7"/>
        <v>0</v>
      </c>
      <c r="Z34" s="5">
        <f t="shared" si="7"/>
        <v>0</v>
      </c>
      <c r="AA34" s="5">
        <f t="shared" si="7"/>
        <v>0</v>
      </c>
      <c r="AB34" s="5">
        <f t="shared" si="7"/>
        <v>0</v>
      </c>
    </row>
    <row r="35" spans="1:28" x14ac:dyDescent="0.25">
      <c r="A35" s="4" t="s">
        <v>357</v>
      </c>
      <c r="B35" s="2" t="s">
        <v>225</v>
      </c>
      <c r="D35" s="5">
        <f>D6*MAX(IF(D34&gt;Inputs!$C$48,Inputs!$C$46,IF(D34&gt;Inputs!$C$47,Inputs!$C$45,Inputs!$C$44)),Inputs!$C$43*D34)</f>
        <v>24000</v>
      </c>
      <c r="E35" s="5">
        <f>E6*MAX(IF(E34&gt;Inputs!$C$48,Inputs!$C$46,IF(E34&gt;Inputs!$C$47,Inputs!$C$45,Inputs!$C$44)),Inputs!$C$43*E34)</f>
        <v>22800</v>
      </c>
      <c r="F35" s="5">
        <f>F6*MAX(IF(F34&gt;Inputs!$C$48,Inputs!$C$46,IF(F34&gt;Inputs!$C$47,Inputs!$C$45,Inputs!$C$44)),Inputs!$C$43*F34)</f>
        <v>21600</v>
      </c>
      <c r="G35" s="5">
        <f>G6*MAX(IF(G34&gt;Inputs!$C$48,Inputs!$C$46,IF(G34&gt;Inputs!$C$47,Inputs!$C$45,Inputs!$C$44)),Inputs!$C$43*G34)</f>
        <v>20400</v>
      </c>
      <c r="H35" s="5">
        <f>H6*MAX(IF(H34&gt;Inputs!$C$48,Inputs!$C$46,IF(H34&gt;Inputs!$C$47,Inputs!$C$45,Inputs!$C$44)),Inputs!$C$43*H34)</f>
        <v>19200</v>
      </c>
      <c r="I35" s="5">
        <f>I6*MAX(IF(I34&gt;Inputs!$C$48,Inputs!$C$46,IF(I34&gt;Inputs!$C$47,Inputs!$C$45,Inputs!$C$44)),Inputs!$C$43*I34)</f>
        <v>18000</v>
      </c>
      <c r="J35" s="5">
        <f>J6*MAX(IF(J34&gt;Inputs!$C$48,Inputs!$C$46,IF(J34&gt;Inputs!$C$47,Inputs!$C$45,Inputs!$C$44)),Inputs!$C$43*J34)</f>
        <v>16800</v>
      </c>
      <c r="K35" s="5">
        <f>K6*MAX(IF(K34&gt;Inputs!$C$48,Inputs!$C$46,IF(K34&gt;Inputs!$C$47,Inputs!$C$45,Inputs!$C$44)),Inputs!$C$43*K34)</f>
        <v>15600</v>
      </c>
      <c r="L35" s="5">
        <f>L6*MAX(IF(L34&gt;Inputs!$C$48,Inputs!$C$46,IF(L34&gt;Inputs!$C$47,Inputs!$C$45,Inputs!$C$44)),Inputs!$C$43*L34)</f>
        <v>14400</v>
      </c>
      <c r="M35" s="5">
        <f>M6*MAX(IF(M34&gt;Inputs!$C$48,Inputs!$C$46,IF(M34&gt;Inputs!$C$47,Inputs!$C$45,Inputs!$C$44)),Inputs!$C$43*M34)</f>
        <v>13200</v>
      </c>
      <c r="N35" s="5">
        <f>N6*MAX(IF(N34&gt;Inputs!$C$48,Inputs!$C$46,IF(N34&gt;Inputs!$C$47,Inputs!$C$45,Inputs!$C$44)),Inputs!$C$43*N34)</f>
        <v>12000</v>
      </c>
      <c r="O35" s="5">
        <f>O6*MAX(IF(O34&gt;Inputs!$C$48,Inputs!$C$46,IF(O34&gt;Inputs!$C$47,Inputs!$C$45,Inputs!$C$44)),Inputs!$C$43*O34)</f>
        <v>10800</v>
      </c>
      <c r="P35" s="5">
        <f>P6*MAX(IF(P34&gt;Inputs!$C$48,Inputs!$C$46,IF(P34&gt;Inputs!$C$47,Inputs!$C$45,Inputs!$C$44)),Inputs!$C$43*P34)</f>
        <v>9600</v>
      </c>
      <c r="Q35" s="5">
        <f>Q6*MAX(IF(Q34&gt;Inputs!$C$48,Inputs!$C$46,IF(Q34&gt;Inputs!$C$47,Inputs!$C$45,Inputs!$C$44)),Inputs!$C$43*Q34)</f>
        <v>8400</v>
      </c>
      <c r="R35" s="5">
        <f>R6*MAX(IF(R34&gt;Inputs!$C$48,Inputs!$C$46,IF(R34&gt;Inputs!$C$47,Inputs!$C$45,Inputs!$C$44)),Inputs!$C$43*R34)</f>
        <v>7200</v>
      </c>
      <c r="S35" s="5">
        <f>S6*MAX(IF(S34&gt;Inputs!$C$48,Inputs!$C$46,IF(S34&gt;Inputs!$C$47,Inputs!$C$45,Inputs!$C$44)),Inputs!$C$43*S34)</f>
        <v>6000</v>
      </c>
      <c r="T35" s="5">
        <f>T6*MAX(IF(T34&gt;Inputs!$C$48,Inputs!$C$46,IF(T34&gt;Inputs!$C$47,Inputs!$C$45,Inputs!$C$44)),Inputs!$C$43*T34)</f>
        <v>4800</v>
      </c>
      <c r="U35" s="5">
        <f>U6*MAX(IF(U34&gt;Inputs!$C$48,Inputs!$C$46,IF(U34&gt;Inputs!$C$47,Inputs!$C$45,Inputs!$C$44)),Inputs!$C$43*U34)</f>
        <v>3600</v>
      </c>
      <c r="V35" s="5">
        <f>V6*MAX(IF(V34&gt;Inputs!$C$48,Inputs!$C$46,IF(V34&gt;Inputs!$C$47,Inputs!$C$45,Inputs!$C$44)),Inputs!$C$43*V34)</f>
        <v>2400</v>
      </c>
      <c r="W35" s="5">
        <f>W6*MAX(IF(W34&gt;Inputs!$C$48,Inputs!$C$46,IF(W34&gt;Inputs!$C$47,Inputs!$C$45,Inputs!$C$44)),Inputs!$C$43*W34)</f>
        <v>1200</v>
      </c>
      <c r="X35" s="5">
        <f>X6*MAX(IF(X34&gt;Inputs!$C$48,Inputs!$C$46,IF(X34&gt;Inputs!$C$47,Inputs!$C$45,Inputs!$C$44)),Inputs!$C$43*X34)</f>
        <v>535</v>
      </c>
      <c r="Y35" s="5">
        <f>Y6*MAX(IF(Y34&gt;Inputs!$C$48,Inputs!$C$46,IF(Y34&gt;Inputs!$C$47,Inputs!$C$45,Inputs!$C$44)),Inputs!$C$43*Y34)</f>
        <v>535</v>
      </c>
      <c r="Z35" s="5">
        <f>Z6*MAX(IF(Z34&gt;Inputs!$C$48,Inputs!$C$46,IF(Z34&gt;Inputs!$C$47,Inputs!$C$45,Inputs!$C$44)),Inputs!$C$43*Z34)</f>
        <v>535</v>
      </c>
      <c r="AA35" s="5">
        <f>AA6*MAX(IF(AA34&gt;Inputs!$C$48,Inputs!$C$46,IF(AA34&gt;Inputs!$C$47,Inputs!$C$45,Inputs!$C$44)),Inputs!$C$43*AA34)</f>
        <v>535</v>
      </c>
      <c r="AB35" s="5">
        <f>AB6*MAX(IF(AB34&gt;Inputs!$C$48,Inputs!$C$46,IF(AB34&gt;Inputs!$C$47,Inputs!$C$45,Inputs!$C$44)),Inputs!$C$43*AB34)</f>
        <v>535</v>
      </c>
    </row>
    <row r="36" spans="1:28" x14ac:dyDescent="0.25">
      <c r="A36" s="3" t="s">
        <v>358</v>
      </c>
      <c r="B36" s="2" t="s">
        <v>225</v>
      </c>
      <c r="D36" s="25">
        <f t="shared" ref="D36:AB36" si="8">D30-D33-D35</f>
        <v>250171.33114999998</v>
      </c>
      <c r="E36" s="25">
        <f t="shared" si="8"/>
        <v>247452.50742539996</v>
      </c>
      <c r="F36" s="25">
        <f t="shared" si="8"/>
        <v>244688.33318769839</v>
      </c>
      <c r="G36" s="25">
        <f t="shared" si="8"/>
        <v>241877.76932278759</v>
      </c>
      <c r="H36" s="25">
        <f t="shared" si="8"/>
        <v>239019.75646269321</v>
      </c>
      <c r="I36" s="25">
        <f t="shared" si="8"/>
        <v>236113.21457838319</v>
      </c>
      <c r="J36" s="25">
        <f t="shared" si="8"/>
        <v>233157.04256444119</v>
      </c>
      <c r="K36" s="25">
        <f t="shared" si="8"/>
        <v>230150.11781544244</v>
      </c>
      <c r="L36" s="25">
        <f t="shared" si="8"/>
        <v>227091.29579386485</v>
      </c>
      <c r="M36" s="25">
        <f t="shared" si="8"/>
        <v>223095.03426949593</v>
      </c>
      <c r="N36" s="25">
        <f t="shared" si="8"/>
        <v>218559.92311737975</v>
      </c>
      <c r="O36" s="25">
        <f t="shared" si="8"/>
        <v>213951.95378957118</v>
      </c>
      <c r="P36" s="25">
        <f t="shared" si="8"/>
        <v>209269.50174636714</v>
      </c>
      <c r="Q36" s="25">
        <f t="shared" si="8"/>
        <v>204510.91062677509</v>
      </c>
      <c r="R36" s="25">
        <f t="shared" si="8"/>
        <v>199674.49160940913</v>
      </c>
      <c r="S36" s="25">
        <f t="shared" si="8"/>
        <v>31080.502224963449</v>
      </c>
      <c r="T36" s="25">
        <f t="shared" si="8"/>
        <v>27383.956718456087</v>
      </c>
      <c r="U36" s="25">
        <f t="shared" si="8"/>
        <v>23612.032924022555</v>
      </c>
      <c r="V36" s="25">
        <f t="shared" si="8"/>
        <v>19763.133065415634</v>
      </c>
      <c r="W36" s="25">
        <f t="shared" si="8"/>
        <v>15835.627771704865</v>
      </c>
      <c r="X36" s="25">
        <f t="shared" si="8"/>
        <v>8469.5463494714804</v>
      </c>
      <c r="Y36" s="25">
        <f t="shared" si="8"/>
        <v>4442.4719810478637</v>
      </c>
      <c r="Z36" s="25">
        <f t="shared" si="8"/>
        <v>351.68478643744345</v>
      </c>
      <c r="AA36" s="25">
        <f t="shared" si="8"/>
        <v>-4829.1768100989284</v>
      </c>
      <c r="AB36" s="25">
        <f t="shared" si="8"/>
        <v>-10375.300706925773</v>
      </c>
    </row>
    <row r="37" spans="1:28" x14ac:dyDescent="0.25">
      <c r="A37" s="4" t="s">
        <v>359</v>
      </c>
      <c r="B37" s="2" t="s">
        <v>225</v>
      </c>
      <c r="D37" s="27">
        <f>Debt!D14</f>
        <v>130000</v>
      </c>
      <c r="E37" s="27">
        <f>Debt!E14</f>
        <v>124624.13821454189</v>
      </c>
      <c r="F37" s="27">
        <f>Debt!F14</f>
        <v>118898.84541302899</v>
      </c>
      <c r="G37" s="27">
        <f>Debt!G14</f>
        <v>112801.40857941777</v>
      </c>
      <c r="H37" s="27">
        <f>Debt!H14</f>
        <v>106307.6383516218</v>
      </c>
      <c r="I37" s="27">
        <f>Debt!I14</f>
        <v>99391.773059019106</v>
      </c>
      <c r="J37" s="27">
        <f>Debt!J14</f>
        <v>92026.376522397215</v>
      </c>
      <c r="K37" s="27">
        <f>Debt!K14</f>
        <v>84182.229210894919</v>
      </c>
      <c r="L37" s="27">
        <f>Debt!L14</f>
        <v>75828.212324144959</v>
      </c>
      <c r="M37" s="27">
        <f>Debt!M14</f>
        <v>66931.184339756262</v>
      </c>
      <c r="N37" s="27">
        <f>Debt!N14</f>
        <v>57455.849536382295</v>
      </c>
      <c r="O37" s="27">
        <f>Debt!O14</f>
        <v>47364.617970789019</v>
      </c>
      <c r="P37" s="27">
        <f>Debt!P14</f>
        <v>36617.456353432179</v>
      </c>
      <c r="Q37" s="27">
        <f>Debt!Q14</f>
        <v>25171.729230947145</v>
      </c>
      <c r="R37" s="27">
        <f>Debt!R14</f>
        <v>12982.029845500587</v>
      </c>
      <c r="S37" s="27">
        <f>Debt!S14</f>
        <v>0</v>
      </c>
      <c r="T37" s="27">
        <f>Debt!T14</f>
        <v>0</v>
      </c>
      <c r="U37" s="27">
        <f>Debt!U14</f>
        <v>0</v>
      </c>
      <c r="V37" s="27">
        <f>Debt!V14</f>
        <v>0</v>
      </c>
      <c r="W37" s="27">
        <f>Debt!W14</f>
        <v>0</v>
      </c>
      <c r="X37" s="27">
        <f>Debt!X14</f>
        <v>0</v>
      </c>
      <c r="Y37" s="27">
        <f>Debt!Y14</f>
        <v>0</v>
      </c>
      <c r="Z37" s="27">
        <f>Debt!Z14</f>
        <v>0</v>
      </c>
      <c r="AA37" s="27">
        <f>Debt!AA14</f>
        <v>0</v>
      </c>
      <c r="AB37" s="27">
        <f>Debt!AB14</f>
        <v>0</v>
      </c>
    </row>
    <row r="38" spans="1:28" x14ac:dyDescent="0.25">
      <c r="A38" s="4" t="s">
        <v>360</v>
      </c>
      <c r="B38" s="2" t="s">
        <v>225</v>
      </c>
      <c r="D38" s="5">
        <f>MAX(0,(D30-D32-D37)*Inputs!$C$41)</f>
        <v>0</v>
      </c>
      <c r="E38" s="5">
        <f>MAX(0,(E30-E32-E37)*Inputs!$C$41)</f>
        <v>0</v>
      </c>
      <c r="F38" s="5">
        <f>MAX(0,(F30-F32-F37)*Inputs!$C$41)</f>
        <v>0</v>
      </c>
      <c r="G38" s="5">
        <f>MAX(0,(G30-G32-G37)*Inputs!$C$41)</f>
        <v>0</v>
      </c>
      <c r="H38" s="5">
        <f>MAX(0,(H30-H32-H37)*Inputs!$C$41)</f>
        <v>0</v>
      </c>
      <c r="I38" s="5">
        <f>MAX(0,(I30-I32-I37)*Inputs!$C$41)</f>
        <v>0</v>
      </c>
      <c r="J38" s="5">
        <f>MAX(0,(J30-J32-J37)*Inputs!$C$41)</f>
        <v>0</v>
      </c>
      <c r="K38" s="5">
        <f>MAX(0,(K30-K32-K37)*Inputs!$C$41)</f>
        <v>0</v>
      </c>
      <c r="L38" s="5">
        <f>MAX(0,(L30-L32-L37)*Inputs!$C$41)</f>
        <v>0</v>
      </c>
      <c r="M38" s="5">
        <f>MAX(0,(M30-M32-M37)*Inputs!$C$41)</f>
        <v>0</v>
      </c>
      <c r="N38" s="5">
        <f>MAX(0,(N30-N32-N37)*Inputs!$C$41)</f>
        <v>0</v>
      </c>
      <c r="O38" s="5">
        <f>MAX(0,(O30-O32-O37)*Inputs!$C$41)</f>
        <v>0</v>
      </c>
      <c r="P38" s="5">
        <f>MAX(0,(P30-P32-P37)*Inputs!$C$41)</f>
        <v>0</v>
      </c>
      <c r="Q38" s="5">
        <f>MAX(0,(Q30-Q32-Q37)*Inputs!$C$41)</f>
        <v>0</v>
      </c>
      <c r="R38" s="5">
        <f>MAX(0,(R30-R32-R37)*Inputs!$C$41)</f>
        <v>0</v>
      </c>
      <c r="S38" s="5">
        <f>MAX(0,(S30-S32-S37)*Inputs!$C$41)</f>
        <v>0</v>
      </c>
      <c r="T38" s="5">
        <f>MAX(0,(T30-T32-T37)*Inputs!$C$41)</f>
        <v>0</v>
      </c>
      <c r="U38" s="5">
        <f>MAX(0,(U30-U32-U37)*Inputs!$C$41)</f>
        <v>0</v>
      </c>
      <c r="V38" s="5">
        <f>MAX(0,(V30-V32-V37)*Inputs!$C$41)</f>
        <v>0</v>
      </c>
      <c r="W38" s="5">
        <f>MAX(0,(W30-W32-W37)*Inputs!$C$41)</f>
        <v>0</v>
      </c>
      <c r="X38" s="5">
        <f>MAX(0,(X30-X32-X37)*Inputs!$C$41)</f>
        <v>2823.309094468465</v>
      </c>
      <c r="Y38" s="5">
        <f>MAX(0,(Y30-Y32-Y37)*Inputs!$C$41)</f>
        <v>1560.6496281047223</v>
      </c>
      <c r="Z38" s="5">
        <f>MAX(0,(Z30-Z32-Z37)*Inputs!$C$41)</f>
        <v>278.01347500672239</v>
      </c>
      <c r="AA38" s="5">
        <f>MAX(0,(AA30-AA32-AA37)*Inputs!$C$41)</f>
        <v>0</v>
      </c>
      <c r="AB38" s="5">
        <f>MAX(0,(AB30-AB32-AB37)*Inputs!$C$41)</f>
        <v>0</v>
      </c>
    </row>
    <row r="39" spans="1:28" x14ac:dyDescent="0.25">
      <c r="A39" s="4" t="s">
        <v>361</v>
      </c>
      <c r="B39" s="2" t="s">
        <v>225</v>
      </c>
      <c r="D39" s="5">
        <f>D34+'Sources &amp; Uses'!$C$7</f>
        <v>4906352.7829650622</v>
      </c>
      <c r="E39" s="5">
        <f t="shared" ref="E39:AB39" si="9">E34+D58+D61</f>
        <v>4666352.7829650622</v>
      </c>
      <c r="F39" s="5">
        <f t="shared" si="9"/>
        <v>4426352.7829650622</v>
      </c>
      <c r="G39" s="5">
        <f t="shared" si="9"/>
        <v>4186352.7829650627</v>
      </c>
      <c r="H39" s="5">
        <f t="shared" si="9"/>
        <v>3946352.7829650627</v>
      </c>
      <c r="I39" s="5">
        <f t="shared" si="9"/>
        <v>3706352.7829650627</v>
      </c>
      <c r="J39" s="5">
        <f t="shared" si="9"/>
        <v>3466352.7829650627</v>
      </c>
      <c r="K39" s="5">
        <f t="shared" si="9"/>
        <v>3226352.7829650627</v>
      </c>
      <c r="L39" s="5">
        <f t="shared" si="9"/>
        <v>2986352.7829650627</v>
      </c>
      <c r="M39" s="5">
        <f t="shared" si="9"/>
        <v>2766507.2731205788</v>
      </c>
      <c r="N39" s="5">
        <f t="shared" si="9"/>
        <v>2541412.7577358666</v>
      </c>
      <c r="O39" s="5">
        <f t="shared" si="9"/>
        <v>2310979.73186801</v>
      </c>
      <c r="P39" s="5">
        <f t="shared" si="9"/>
        <v>2075114.653219715</v>
      </c>
      <c r="Q39" s="5">
        <f t="shared" si="9"/>
        <v>1833719.743181661</v>
      </c>
      <c r="R39" s="5">
        <f t="shared" si="9"/>
        <v>1586692.7760263218</v>
      </c>
      <c r="S39" s="5">
        <f t="shared" si="9"/>
        <v>1333926.8555058977</v>
      </c>
      <c r="T39" s="5">
        <f t="shared" si="9"/>
        <v>960000</v>
      </c>
      <c r="U39" s="5">
        <f t="shared" si="9"/>
        <v>720000</v>
      </c>
      <c r="V39" s="5">
        <f t="shared" si="9"/>
        <v>480000</v>
      </c>
      <c r="W39" s="5">
        <f t="shared" si="9"/>
        <v>240000</v>
      </c>
      <c r="X39" s="5">
        <f t="shared" si="9"/>
        <v>0</v>
      </c>
      <c r="Y39" s="5">
        <f t="shared" si="9"/>
        <v>0</v>
      </c>
      <c r="Z39" s="5">
        <f t="shared" si="9"/>
        <v>0</v>
      </c>
      <c r="AA39" s="5">
        <f t="shared" si="9"/>
        <v>0</v>
      </c>
      <c r="AB39" s="5">
        <f t="shared" si="9"/>
        <v>0</v>
      </c>
    </row>
    <row r="40" spans="1:28" x14ac:dyDescent="0.25">
      <c r="A40" s="4" t="s">
        <v>362</v>
      </c>
      <c r="B40" s="2" t="s">
        <v>225</v>
      </c>
      <c r="D40" s="5">
        <f>MAX(0,D39-Debt!D12)</f>
        <v>2906352.7829650622</v>
      </c>
      <c r="E40" s="5">
        <f>MAX(0,E39-Debt!E12-D53)</f>
        <v>2749058.348895187</v>
      </c>
      <c r="F40" s="5">
        <f>MAX(0,F39-Debt!F12-E53)</f>
        <v>2597139.7766107703</v>
      </c>
      <c r="G40" s="5">
        <f>MAX(0,G39-Debt!G12-F53)</f>
        <v>2450946.4971278664</v>
      </c>
      <c r="H40" s="5">
        <f>MAX(0,H39-Debt!H12-G53)</f>
        <v>2310850.6544785732</v>
      </c>
      <c r="I40" s="5">
        <f>MAX(0,I39-Debt!I12-H53)</f>
        <v>2177248.5820570765</v>
      </c>
      <c r="J40" s="5">
        <f>MAX(0,J39-Debt!J12-I53)</f>
        <v>2050562.3749281825</v>
      </c>
      <c r="K40" s="5">
        <f>MAX(0,K39-Debt!K12-J53)</f>
        <v>1931241.5643359101</v>
      </c>
      <c r="L40" s="5">
        <f>MAX(0,L39-Debt!L12-K53)</f>
        <v>1819764.9010551402</v>
      </c>
      <c r="M40" s="5">
        <f>MAX(0,M39-Debt!M12-L53)</f>
        <v>1736796.7448166364</v>
      </c>
      <c r="N40" s="5">
        <f>MAX(0,N39-Debt!N12-M53)</f>
        <v>1657476.6110222929</v>
      </c>
      <c r="O40" s="5">
        <f>MAX(0,O39-Debt!O12-N53)</f>
        <v>1582293.301548179</v>
      </c>
      <c r="P40" s="5">
        <f>MAX(0,P39-Debt!P12-O53)</f>
        <v>1511769.17085922</v>
      </c>
      <c r="Q40" s="5">
        <f>MAX(0,Q39-Debt!Q12-P53)</f>
        <v>1446462.3703978588</v>
      </c>
      <c r="R40" s="5">
        <f>MAX(0,R39-Debt!R12-Q53)</f>
        <v>1386969.2399416973</v>
      </c>
      <c r="S40" s="5">
        <f>MAX(0,S39-Debt!S12-R53)</f>
        <v>1333926.8555058977</v>
      </c>
      <c r="T40" s="5">
        <f>MAX(0,T39-Debt!T12-S53)</f>
        <v>960000</v>
      </c>
      <c r="U40" s="5">
        <f>MAX(0,U39-Debt!U12-T53)</f>
        <v>720000</v>
      </c>
      <c r="V40" s="5">
        <f>MAX(0,V39-Debt!V12-U53)</f>
        <v>480000</v>
      </c>
      <c r="W40" s="5">
        <f>MAX(0,W39-Debt!W12-V53)</f>
        <v>240000</v>
      </c>
      <c r="X40" s="5">
        <f>MAX(0,X39-Debt!X12-W53)</f>
        <v>0</v>
      </c>
      <c r="Y40" s="5">
        <f>MAX(0,Y39-Debt!Y12-X53)</f>
        <v>0</v>
      </c>
      <c r="Z40" s="5">
        <f>MAX(0,Z39-Debt!Z12-Y53)</f>
        <v>0</v>
      </c>
      <c r="AA40" s="5">
        <f>MAX(0,AA39-Debt!AA12-Z53)</f>
        <v>0</v>
      </c>
      <c r="AB40" s="5">
        <f>MAX(0,AB39-Debt!AB12-AA53)</f>
        <v>0</v>
      </c>
    </row>
    <row r="41" spans="1:28" x14ac:dyDescent="0.25">
      <c r="A41" s="4" t="s">
        <v>363</v>
      </c>
      <c r="B41" s="2" t="s">
        <v>225</v>
      </c>
      <c r="D41" s="5">
        <f>D6*MAX(IF(D39&gt;Inputs!$C$48,Inputs!$C$46,IF(D39&gt;Inputs!$C$47,Inputs!$C$45,Inputs!$C$44)),Inputs!$C$43*D40)</f>
        <v>14531.763914825311</v>
      </c>
      <c r="E41" s="5">
        <f>E6*MAX(IF(E39&gt;Inputs!$C$48,Inputs!$C$46,IF(E39&gt;Inputs!$C$47,Inputs!$C$45,Inputs!$C$44)),Inputs!$C$43*E40)</f>
        <v>13745.291744475935</v>
      </c>
      <c r="F41" s="5">
        <f>F6*MAX(IF(F39&gt;Inputs!$C$48,Inputs!$C$46,IF(F39&gt;Inputs!$C$47,Inputs!$C$45,Inputs!$C$44)),Inputs!$C$43*F40)</f>
        <v>12985.698883053852</v>
      </c>
      <c r="G41" s="5">
        <f>G6*MAX(IF(G39&gt;Inputs!$C$48,Inputs!$C$46,IF(G39&gt;Inputs!$C$47,Inputs!$C$45,Inputs!$C$44)),Inputs!$C$43*G40)</f>
        <v>12254.732485639332</v>
      </c>
      <c r="H41" s="5">
        <f>H6*MAX(IF(H39&gt;Inputs!$C$48,Inputs!$C$46,IF(H39&gt;Inputs!$C$47,Inputs!$C$45,Inputs!$C$44)),Inputs!$C$43*H40)</f>
        <v>11554.253272392867</v>
      </c>
      <c r="I41" s="5">
        <f>I6*MAX(IF(I39&gt;Inputs!$C$48,Inputs!$C$46,IF(I39&gt;Inputs!$C$47,Inputs!$C$45,Inputs!$C$44)),Inputs!$C$43*I40)</f>
        <v>10886.242910285382</v>
      </c>
      <c r="J41" s="5">
        <f>J6*MAX(IF(J39&gt;Inputs!$C$48,Inputs!$C$46,IF(J39&gt;Inputs!$C$47,Inputs!$C$45,Inputs!$C$44)),Inputs!$C$43*J40)</f>
        <v>10252.811874640913</v>
      </c>
      <c r="K41" s="5">
        <f>K6*MAX(IF(K39&gt;Inputs!$C$48,Inputs!$C$46,IF(K39&gt;Inputs!$C$47,Inputs!$C$45,Inputs!$C$44)),Inputs!$C$43*K40)</f>
        <v>9656.2078216795508</v>
      </c>
      <c r="L41" s="5">
        <f>L6*MAX(IF(L39&gt;Inputs!$C$48,Inputs!$C$46,IF(L39&gt;Inputs!$C$47,Inputs!$C$45,Inputs!$C$44)),Inputs!$C$43*L40)</f>
        <v>9098.8245052757011</v>
      </c>
      <c r="M41" s="5">
        <f>M6*MAX(IF(M39&gt;Inputs!$C$48,Inputs!$C$46,IF(M39&gt;Inputs!$C$47,Inputs!$C$45,Inputs!$C$44)),Inputs!$C$43*M40)</f>
        <v>8683.9837240831821</v>
      </c>
      <c r="N41" s="5">
        <f>N6*MAX(IF(N39&gt;Inputs!$C$48,Inputs!$C$46,IF(N39&gt;Inputs!$C$47,Inputs!$C$45,Inputs!$C$44)),Inputs!$C$43*N40)</f>
        <v>8287.3830551114643</v>
      </c>
      <c r="O41" s="5">
        <f>O6*MAX(IF(O39&gt;Inputs!$C$48,Inputs!$C$46,IF(O39&gt;Inputs!$C$47,Inputs!$C$45,Inputs!$C$44)),Inputs!$C$43*O40)</f>
        <v>7911.4665077408954</v>
      </c>
      <c r="P41" s="5">
        <f>P6*MAX(IF(P39&gt;Inputs!$C$48,Inputs!$C$46,IF(P39&gt;Inputs!$C$47,Inputs!$C$45,Inputs!$C$44)),Inputs!$C$43*P40)</f>
        <v>7558.8458542960998</v>
      </c>
      <c r="Q41" s="5">
        <f>Q6*MAX(IF(Q39&gt;Inputs!$C$48,Inputs!$C$46,IF(Q39&gt;Inputs!$C$47,Inputs!$C$45,Inputs!$C$44)),Inputs!$C$43*Q40)</f>
        <v>7232.3118519892942</v>
      </c>
      <c r="R41" s="5">
        <f>R6*MAX(IF(R39&gt;Inputs!$C$48,Inputs!$C$46,IF(R39&gt;Inputs!$C$47,Inputs!$C$45,Inputs!$C$44)),Inputs!$C$43*R40)</f>
        <v>6934.8461997084869</v>
      </c>
      <c r="S41" s="5">
        <f>S6*MAX(IF(S39&gt;Inputs!$C$48,Inputs!$C$46,IF(S39&gt;Inputs!$C$47,Inputs!$C$45,Inputs!$C$44)),Inputs!$C$43*S40)</f>
        <v>6669.6342775294888</v>
      </c>
      <c r="T41" s="5">
        <f>T6*MAX(IF(T39&gt;Inputs!$C$48,Inputs!$C$46,IF(T39&gt;Inputs!$C$47,Inputs!$C$45,Inputs!$C$44)),Inputs!$C$43*T40)</f>
        <v>4800</v>
      </c>
      <c r="U41" s="5">
        <f>U6*MAX(IF(U39&gt;Inputs!$C$48,Inputs!$C$46,IF(U39&gt;Inputs!$C$47,Inputs!$C$45,Inputs!$C$44)),Inputs!$C$43*U40)</f>
        <v>3600</v>
      </c>
      <c r="V41" s="5">
        <f>V6*MAX(IF(V39&gt;Inputs!$C$48,Inputs!$C$46,IF(V39&gt;Inputs!$C$47,Inputs!$C$45,Inputs!$C$44)),Inputs!$C$43*V40)</f>
        <v>2400</v>
      </c>
      <c r="W41" s="5">
        <f>W6*MAX(IF(W39&gt;Inputs!$C$48,Inputs!$C$46,IF(W39&gt;Inputs!$C$47,Inputs!$C$45,Inputs!$C$44)),Inputs!$C$43*W40)</f>
        <v>1200</v>
      </c>
      <c r="X41" s="5">
        <f>X6*MAX(IF(X39&gt;Inputs!$C$48,Inputs!$C$46,IF(X39&gt;Inputs!$C$47,Inputs!$C$45,Inputs!$C$44)),Inputs!$C$43*X40)</f>
        <v>535</v>
      </c>
      <c r="Y41" s="5">
        <f>Y6*MAX(IF(Y39&gt;Inputs!$C$48,Inputs!$C$46,IF(Y39&gt;Inputs!$C$47,Inputs!$C$45,Inputs!$C$44)),Inputs!$C$43*Y40)</f>
        <v>535</v>
      </c>
      <c r="Z41" s="5">
        <f>Z6*MAX(IF(Z39&gt;Inputs!$C$48,Inputs!$C$46,IF(Z39&gt;Inputs!$C$47,Inputs!$C$45,Inputs!$C$44)),Inputs!$C$43*Z40)</f>
        <v>535</v>
      </c>
      <c r="AA41" s="5">
        <f>AA6*MAX(IF(AA39&gt;Inputs!$C$48,Inputs!$C$46,IF(AA39&gt;Inputs!$C$47,Inputs!$C$45,Inputs!$C$44)),Inputs!$C$43*AA40)</f>
        <v>535</v>
      </c>
      <c r="AB41" s="5">
        <f>AB6*MAX(IF(AB39&gt;Inputs!$C$48,Inputs!$C$46,IF(AB39&gt;Inputs!$C$47,Inputs!$C$45,Inputs!$C$44)),Inputs!$C$43*AB40)</f>
        <v>535</v>
      </c>
    </row>
    <row r="42" spans="1:28" x14ac:dyDescent="0.25">
      <c r="A42" s="3" t="s">
        <v>364</v>
      </c>
      <c r="B42" s="2" t="s">
        <v>225</v>
      </c>
      <c r="D42" s="25">
        <f t="shared" ref="D42:AB42" si="10">D30-D38-D41</f>
        <v>270353.73608517466</v>
      </c>
      <c r="E42" s="25">
        <f t="shared" si="10"/>
        <v>265992.66625552403</v>
      </c>
      <c r="F42" s="25">
        <f t="shared" si="10"/>
        <v>261545.14728494617</v>
      </c>
      <c r="G42" s="25">
        <f t="shared" si="10"/>
        <v>257008.06709768862</v>
      </c>
      <c r="H42" s="25">
        <f t="shared" si="10"/>
        <v>252378.17344860177</v>
      </c>
      <c r="I42" s="25">
        <f t="shared" si="10"/>
        <v>247652.0660065453</v>
      </c>
      <c r="J42" s="25">
        <f t="shared" si="10"/>
        <v>242826.18794729683</v>
      </c>
      <c r="K42" s="25">
        <f t="shared" si="10"/>
        <v>237896.81702456033</v>
      </c>
      <c r="L42" s="25">
        <f t="shared" si="10"/>
        <v>232860.05608564097</v>
      </c>
      <c r="M42" s="25">
        <f t="shared" si="10"/>
        <v>227611.05054541276</v>
      </c>
      <c r="N42" s="25">
        <f t="shared" si="10"/>
        <v>222272.54006226829</v>
      </c>
      <c r="O42" s="25">
        <f t="shared" si="10"/>
        <v>216840.48728183028</v>
      </c>
      <c r="P42" s="25">
        <f t="shared" si="10"/>
        <v>211310.65589207105</v>
      </c>
      <c r="Q42" s="25">
        <f t="shared" si="10"/>
        <v>205678.59877478579</v>
      </c>
      <c r="R42" s="25">
        <f t="shared" si="10"/>
        <v>199939.64540970064</v>
      </c>
      <c r="S42" s="25">
        <f t="shared" si="10"/>
        <v>30410.867947433959</v>
      </c>
      <c r="T42" s="25">
        <f t="shared" si="10"/>
        <v>27383.956718456087</v>
      </c>
      <c r="U42" s="25">
        <f t="shared" si="10"/>
        <v>23612.032924022555</v>
      </c>
      <c r="V42" s="25">
        <f t="shared" si="10"/>
        <v>19763.133065415634</v>
      </c>
      <c r="W42" s="25">
        <f t="shared" si="10"/>
        <v>15835.627771704865</v>
      </c>
      <c r="X42" s="25">
        <f t="shared" si="10"/>
        <v>8469.5463494714804</v>
      </c>
      <c r="Y42" s="25">
        <f t="shared" si="10"/>
        <v>4442.4719810478637</v>
      </c>
      <c r="Z42" s="25">
        <f t="shared" si="10"/>
        <v>351.68478643744345</v>
      </c>
      <c r="AA42" s="25">
        <f t="shared" si="10"/>
        <v>-4829.1768100989284</v>
      </c>
      <c r="AB42" s="25">
        <f t="shared" si="10"/>
        <v>-10375.300706925773</v>
      </c>
    </row>
    <row r="43" spans="1:28" x14ac:dyDescent="0.25">
      <c r="A43" s="31" t="s">
        <v>365</v>
      </c>
    </row>
    <row r="44" spans="1:28" x14ac:dyDescent="0.25">
      <c r="A44" s="4" t="s">
        <v>366</v>
      </c>
      <c r="B44" s="2" t="s">
        <v>225</v>
      </c>
      <c r="D44" s="27">
        <f>Debt!D17</f>
        <v>212705.56593012495</v>
      </c>
      <c r="E44" s="27">
        <f>Debt!E17</f>
        <v>212705.56593012495</v>
      </c>
      <c r="F44" s="27">
        <f>Debt!F17</f>
        <v>212705.56593012495</v>
      </c>
      <c r="G44" s="27">
        <f>Debt!G17</f>
        <v>212705.56593012495</v>
      </c>
      <c r="H44" s="27">
        <f>Debt!H17</f>
        <v>212705.56593012495</v>
      </c>
      <c r="I44" s="27">
        <f>Debt!I17</f>
        <v>212705.56593012495</v>
      </c>
      <c r="J44" s="27">
        <f>Debt!J17</f>
        <v>212705.56593012495</v>
      </c>
      <c r="K44" s="27">
        <f>Debt!K17</f>
        <v>212705.56593012495</v>
      </c>
      <c r="L44" s="27">
        <f>Debt!L17</f>
        <v>212705.56593012495</v>
      </c>
      <c r="M44" s="27">
        <f>Debt!M17</f>
        <v>212705.56593012495</v>
      </c>
      <c r="N44" s="27">
        <f>Debt!N17</f>
        <v>212705.56593012495</v>
      </c>
      <c r="O44" s="27">
        <f>Debt!O17</f>
        <v>212705.56593012495</v>
      </c>
      <c r="P44" s="27">
        <f>Debt!P17</f>
        <v>212705.56593012495</v>
      </c>
      <c r="Q44" s="27">
        <f>Debt!Q17</f>
        <v>212705.56593012495</v>
      </c>
      <c r="R44" s="27">
        <f>Debt!R17</f>
        <v>212705.56593012495</v>
      </c>
      <c r="S44" s="27">
        <f>Debt!S17</f>
        <v>0</v>
      </c>
      <c r="T44" s="27">
        <f>Debt!T17</f>
        <v>0</v>
      </c>
      <c r="U44" s="27">
        <f>Debt!U17</f>
        <v>0</v>
      </c>
      <c r="V44" s="27">
        <f>Debt!V17</f>
        <v>0</v>
      </c>
      <c r="W44" s="27">
        <f>Debt!W17</f>
        <v>0</v>
      </c>
      <c r="X44" s="27">
        <f>Debt!X17</f>
        <v>0</v>
      </c>
      <c r="Y44" s="27">
        <f>Debt!Y17</f>
        <v>0</v>
      </c>
      <c r="Z44" s="27">
        <f>Debt!Z17</f>
        <v>0</v>
      </c>
      <c r="AA44" s="27">
        <f>Debt!AA17</f>
        <v>0</v>
      </c>
      <c r="AB44" s="27">
        <f>Debt!AB17</f>
        <v>0</v>
      </c>
    </row>
    <row r="45" spans="1:28" x14ac:dyDescent="0.25">
      <c r="A45" s="3" t="s">
        <v>367</v>
      </c>
      <c r="B45" s="2" t="s">
        <v>237</v>
      </c>
      <c r="D45" s="34">
        <f t="shared" ref="D45:AB45" si="11">IF(D44&gt;1,D42/D44,"")</f>
        <v>1.2710233270246791</v>
      </c>
      <c r="E45" s="34">
        <f t="shared" si="11"/>
        <v>1.2505204792943887</v>
      </c>
      <c r="F45" s="34">
        <f t="shared" si="11"/>
        <v>1.2296112052416406</v>
      </c>
      <c r="G45" s="34">
        <f t="shared" si="11"/>
        <v>1.2082808739575592</v>
      </c>
      <c r="H45" s="34">
        <f t="shared" si="11"/>
        <v>1.1865141955500567</v>
      </c>
      <c r="I45" s="34">
        <f t="shared" si="11"/>
        <v>1.1642951839252786</v>
      </c>
      <c r="J45" s="34">
        <f t="shared" si="11"/>
        <v>1.141607117263056</v>
      </c>
      <c r="K45" s="34">
        <f t="shared" si="11"/>
        <v>1.1184324960387302</v>
      </c>
      <c r="L45" s="34">
        <f t="shared" si="11"/>
        <v>1.0947529984341684</v>
      </c>
      <c r="M45" s="34">
        <f t="shared" si="11"/>
        <v>1.0700756679784502</v>
      </c>
      <c r="N45" s="34">
        <f t="shared" si="11"/>
        <v>1.0449775448531806</v>
      </c>
      <c r="O45" s="34">
        <f t="shared" si="11"/>
        <v>1.0194396481052295</v>
      </c>
      <c r="P45" s="34">
        <f t="shared" si="11"/>
        <v>0.99344206141501656</v>
      </c>
      <c r="Q45" s="34">
        <f t="shared" si="11"/>
        <v>0.96696387739262279</v>
      </c>
      <c r="R45" s="34">
        <f t="shared" si="11"/>
        <v>0.9399831383602909</v>
      </c>
      <c r="S45" s="34" t="str">
        <f t="shared" si="11"/>
        <v/>
      </c>
      <c r="T45" s="34" t="str">
        <f t="shared" si="11"/>
        <v/>
      </c>
      <c r="U45" s="34" t="str">
        <f t="shared" si="11"/>
        <v/>
      </c>
      <c r="V45" s="34" t="str">
        <f t="shared" si="11"/>
        <v/>
      </c>
      <c r="W45" s="34" t="str">
        <f t="shared" si="11"/>
        <v/>
      </c>
      <c r="X45" s="34" t="str">
        <f t="shared" si="11"/>
        <v/>
      </c>
      <c r="Y45" s="34" t="str">
        <f t="shared" si="11"/>
        <v/>
      </c>
      <c r="Z45" s="34" t="str">
        <f t="shared" si="11"/>
        <v/>
      </c>
      <c r="AA45" s="34" t="str">
        <f t="shared" si="11"/>
        <v/>
      </c>
      <c r="AB45" s="34" t="str">
        <f t="shared" si="11"/>
        <v/>
      </c>
    </row>
    <row r="46" spans="1:28" x14ac:dyDescent="0.25">
      <c r="A46" s="4" t="s">
        <v>368</v>
      </c>
      <c r="B46" s="2" t="s">
        <v>225</v>
      </c>
      <c r="D46" s="5">
        <f>0</f>
        <v>0</v>
      </c>
      <c r="E46" s="5">
        <f t="shared" ref="E46:AB46" si="12">D61</f>
        <v>0</v>
      </c>
      <c r="F46" s="5">
        <f t="shared" si="12"/>
        <v>0</v>
      </c>
      <c r="G46" s="5">
        <f t="shared" si="12"/>
        <v>0</v>
      </c>
      <c r="H46" s="5">
        <f t="shared" si="12"/>
        <v>0</v>
      </c>
      <c r="I46" s="5">
        <f t="shared" si="12"/>
        <v>0</v>
      </c>
      <c r="J46" s="5">
        <f t="shared" si="12"/>
        <v>0</v>
      </c>
      <c r="K46" s="5">
        <f t="shared" si="12"/>
        <v>0</v>
      </c>
      <c r="L46" s="5">
        <f t="shared" si="12"/>
        <v>0</v>
      </c>
      <c r="M46" s="5">
        <f t="shared" si="12"/>
        <v>20154.490155516018</v>
      </c>
      <c r="N46" s="5">
        <f t="shared" si="12"/>
        <v>35059.974770803819</v>
      </c>
      <c r="O46" s="5">
        <f t="shared" si="12"/>
        <v>44626.948902947159</v>
      </c>
      <c r="P46" s="5">
        <f t="shared" si="12"/>
        <v>48761.870254652487</v>
      </c>
      <c r="Q46" s="5">
        <f t="shared" si="12"/>
        <v>47366.960216598585</v>
      </c>
      <c r="R46" s="5">
        <f t="shared" si="12"/>
        <v>40339.993061259418</v>
      </c>
      <c r="S46" s="5">
        <f t="shared" si="12"/>
        <v>133926.85550589758</v>
      </c>
      <c r="T46" s="5">
        <f t="shared" si="12"/>
        <v>0</v>
      </c>
      <c r="U46" s="5">
        <f t="shared" si="12"/>
        <v>0</v>
      </c>
      <c r="V46" s="5">
        <f t="shared" si="12"/>
        <v>0</v>
      </c>
      <c r="W46" s="5">
        <f t="shared" si="12"/>
        <v>0</v>
      </c>
      <c r="X46" s="5">
        <f t="shared" si="12"/>
        <v>0</v>
      </c>
      <c r="Y46" s="5">
        <f t="shared" si="12"/>
        <v>0</v>
      </c>
      <c r="Z46" s="5">
        <f t="shared" si="12"/>
        <v>0</v>
      </c>
      <c r="AA46" s="5">
        <f t="shared" si="12"/>
        <v>0</v>
      </c>
      <c r="AB46" s="5">
        <f t="shared" si="12"/>
        <v>0</v>
      </c>
    </row>
    <row r="47" spans="1:28" x14ac:dyDescent="0.25">
      <c r="A47" s="4" t="s">
        <v>369</v>
      </c>
      <c r="B47" s="2" t="s">
        <v>225</v>
      </c>
      <c r="D47" s="5">
        <f>0</f>
        <v>0</v>
      </c>
      <c r="E47" s="5">
        <f t="shared" ref="E47:AB47" si="13">D53</f>
        <v>0</v>
      </c>
      <c r="F47" s="5">
        <f t="shared" si="13"/>
        <v>0</v>
      </c>
      <c r="G47" s="5">
        <f t="shared" si="13"/>
        <v>0</v>
      </c>
      <c r="H47" s="5">
        <f t="shared" si="13"/>
        <v>0</v>
      </c>
      <c r="I47" s="5">
        <f t="shared" si="13"/>
        <v>0</v>
      </c>
      <c r="J47" s="5">
        <f t="shared" si="13"/>
        <v>0</v>
      </c>
      <c r="K47" s="5">
        <f t="shared" si="13"/>
        <v>0</v>
      </c>
      <c r="L47" s="5">
        <f t="shared" si="13"/>
        <v>0</v>
      </c>
      <c r="M47" s="5">
        <f t="shared" si="13"/>
        <v>0</v>
      </c>
      <c r="N47" s="5">
        <f t="shared" si="13"/>
        <v>0</v>
      </c>
      <c r="O47" s="5">
        <f t="shared" si="13"/>
        <v>0</v>
      </c>
      <c r="P47" s="5">
        <f t="shared" si="13"/>
        <v>0</v>
      </c>
      <c r="Q47" s="5">
        <f t="shared" si="13"/>
        <v>0</v>
      </c>
      <c r="R47" s="5">
        <f t="shared" si="13"/>
        <v>0</v>
      </c>
      <c r="S47" s="5">
        <f t="shared" si="13"/>
        <v>0</v>
      </c>
      <c r="T47" s="5">
        <f t="shared" si="13"/>
        <v>0</v>
      </c>
      <c r="U47" s="5">
        <f t="shared" si="13"/>
        <v>0</v>
      </c>
      <c r="V47" s="5">
        <f t="shared" si="13"/>
        <v>0</v>
      </c>
      <c r="W47" s="5">
        <f t="shared" si="13"/>
        <v>0</v>
      </c>
      <c r="X47" s="5">
        <f t="shared" si="13"/>
        <v>0</v>
      </c>
      <c r="Y47" s="5">
        <f t="shared" si="13"/>
        <v>0</v>
      </c>
      <c r="Z47" s="5">
        <f t="shared" si="13"/>
        <v>0</v>
      </c>
      <c r="AA47" s="5">
        <f t="shared" si="13"/>
        <v>0</v>
      </c>
      <c r="AB47" s="5">
        <f t="shared" si="13"/>
        <v>0</v>
      </c>
    </row>
    <row r="48" spans="1:28" x14ac:dyDescent="0.25">
      <c r="A48" s="4" t="s">
        <v>370</v>
      </c>
      <c r="B48" s="2" t="s">
        <v>225</v>
      </c>
      <c r="D48" s="5">
        <f>D47*Inputs!$C$50</f>
        <v>0</v>
      </c>
      <c r="E48" s="5">
        <f>E47*Inputs!$C$50</f>
        <v>0</v>
      </c>
      <c r="F48" s="5">
        <f>F47*Inputs!$C$50</f>
        <v>0</v>
      </c>
      <c r="G48" s="5">
        <f>G47*Inputs!$C$50</f>
        <v>0</v>
      </c>
      <c r="H48" s="5">
        <f>H47*Inputs!$C$50</f>
        <v>0</v>
      </c>
      <c r="I48" s="5">
        <f>I47*Inputs!$C$50</f>
        <v>0</v>
      </c>
      <c r="J48" s="5">
        <f>J47*Inputs!$C$50</f>
        <v>0</v>
      </c>
      <c r="K48" s="5">
        <f>K47*Inputs!$C$50</f>
        <v>0</v>
      </c>
      <c r="L48" s="5">
        <f>L47*Inputs!$C$50</f>
        <v>0</v>
      </c>
      <c r="M48" s="5">
        <f>M47*Inputs!$C$50</f>
        <v>0</v>
      </c>
      <c r="N48" s="5">
        <f>N47*Inputs!$C$50</f>
        <v>0</v>
      </c>
      <c r="O48" s="5">
        <f>O47*Inputs!$C$50</f>
        <v>0</v>
      </c>
      <c r="P48" s="5">
        <f>P47*Inputs!$C$50</f>
        <v>0</v>
      </c>
      <c r="Q48" s="5">
        <f>Q47*Inputs!$C$50</f>
        <v>0</v>
      </c>
      <c r="R48" s="5">
        <f>R47*Inputs!$C$50</f>
        <v>0</v>
      </c>
      <c r="S48" s="5">
        <f>S47*Inputs!$C$50</f>
        <v>0</v>
      </c>
      <c r="T48" s="5">
        <f>T47*Inputs!$C$50</f>
        <v>0</v>
      </c>
      <c r="U48" s="5">
        <f>U47*Inputs!$C$50</f>
        <v>0</v>
      </c>
      <c r="V48" s="5">
        <f>V47*Inputs!$C$50</f>
        <v>0</v>
      </c>
      <c r="W48" s="5">
        <f>W47*Inputs!$C$50</f>
        <v>0</v>
      </c>
      <c r="X48" s="5">
        <f>X47*Inputs!$C$50</f>
        <v>0</v>
      </c>
      <c r="Y48" s="5">
        <f>Y47*Inputs!$C$50</f>
        <v>0</v>
      </c>
      <c r="Z48" s="5">
        <f>Z47*Inputs!$C$50</f>
        <v>0</v>
      </c>
      <c r="AA48" s="5">
        <f>AA47*Inputs!$C$50</f>
        <v>0</v>
      </c>
      <c r="AB48" s="5">
        <f>AB47*Inputs!$C$50</f>
        <v>0</v>
      </c>
    </row>
    <row r="49" spans="1:28" x14ac:dyDescent="0.25">
      <c r="A49" s="4" t="s">
        <v>371</v>
      </c>
      <c r="B49" s="2" t="s">
        <v>225</v>
      </c>
      <c r="D49" s="5">
        <f t="shared" ref="D49:AB49" si="14">D44+D47+D48</f>
        <v>212705.56593012495</v>
      </c>
      <c r="E49" s="5">
        <f t="shared" si="14"/>
        <v>212705.56593012495</v>
      </c>
      <c r="F49" s="5">
        <f t="shared" si="14"/>
        <v>212705.56593012495</v>
      </c>
      <c r="G49" s="5">
        <f t="shared" si="14"/>
        <v>212705.56593012495</v>
      </c>
      <c r="H49" s="5">
        <f t="shared" si="14"/>
        <v>212705.56593012495</v>
      </c>
      <c r="I49" s="5">
        <f t="shared" si="14"/>
        <v>212705.56593012495</v>
      </c>
      <c r="J49" s="5">
        <f t="shared" si="14"/>
        <v>212705.56593012495</v>
      </c>
      <c r="K49" s="5">
        <f t="shared" si="14"/>
        <v>212705.56593012495</v>
      </c>
      <c r="L49" s="5">
        <f t="shared" si="14"/>
        <v>212705.56593012495</v>
      </c>
      <c r="M49" s="5">
        <f t="shared" si="14"/>
        <v>212705.56593012495</v>
      </c>
      <c r="N49" s="5">
        <f t="shared" si="14"/>
        <v>212705.56593012495</v>
      </c>
      <c r="O49" s="5">
        <f t="shared" si="14"/>
        <v>212705.56593012495</v>
      </c>
      <c r="P49" s="5">
        <f t="shared" si="14"/>
        <v>212705.56593012495</v>
      </c>
      <c r="Q49" s="5">
        <f t="shared" si="14"/>
        <v>212705.56593012495</v>
      </c>
      <c r="R49" s="5">
        <f t="shared" si="14"/>
        <v>212705.56593012495</v>
      </c>
      <c r="S49" s="5">
        <f t="shared" si="14"/>
        <v>0</v>
      </c>
      <c r="T49" s="5">
        <f t="shared" si="14"/>
        <v>0</v>
      </c>
      <c r="U49" s="5">
        <f t="shared" si="14"/>
        <v>0</v>
      </c>
      <c r="V49" s="5">
        <f t="shared" si="14"/>
        <v>0</v>
      </c>
      <c r="W49" s="5">
        <f t="shared" si="14"/>
        <v>0</v>
      </c>
      <c r="X49" s="5">
        <f t="shared" si="14"/>
        <v>0</v>
      </c>
      <c r="Y49" s="5">
        <f t="shared" si="14"/>
        <v>0</v>
      </c>
      <c r="Z49" s="5">
        <f t="shared" si="14"/>
        <v>0</v>
      </c>
      <c r="AA49" s="5">
        <f t="shared" si="14"/>
        <v>0</v>
      </c>
      <c r="AB49" s="5">
        <f t="shared" si="14"/>
        <v>0</v>
      </c>
    </row>
    <row r="50" spans="1:28" x14ac:dyDescent="0.25">
      <c r="A50" s="4" t="s">
        <v>372</v>
      </c>
      <c r="B50" s="2" t="s">
        <v>225</v>
      </c>
      <c r="D50" s="5">
        <f t="shared" ref="D50:AB50" si="15">MAX(0,MIN(D49,D42+D46))</f>
        <v>212705.56593012495</v>
      </c>
      <c r="E50" s="5">
        <f t="shared" si="15"/>
        <v>212705.56593012495</v>
      </c>
      <c r="F50" s="5">
        <f t="shared" si="15"/>
        <v>212705.56593012495</v>
      </c>
      <c r="G50" s="5">
        <f t="shared" si="15"/>
        <v>212705.56593012495</v>
      </c>
      <c r="H50" s="5">
        <f t="shared" si="15"/>
        <v>212705.56593012495</v>
      </c>
      <c r="I50" s="5">
        <f t="shared" si="15"/>
        <v>212705.56593012495</v>
      </c>
      <c r="J50" s="5">
        <f t="shared" si="15"/>
        <v>212705.56593012495</v>
      </c>
      <c r="K50" s="5">
        <f t="shared" si="15"/>
        <v>212705.56593012495</v>
      </c>
      <c r="L50" s="5">
        <f t="shared" si="15"/>
        <v>212705.56593012495</v>
      </c>
      <c r="M50" s="5">
        <f t="shared" si="15"/>
        <v>212705.56593012495</v>
      </c>
      <c r="N50" s="5">
        <f t="shared" si="15"/>
        <v>212705.56593012495</v>
      </c>
      <c r="O50" s="5">
        <f t="shared" si="15"/>
        <v>212705.56593012495</v>
      </c>
      <c r="P50" s="5">
        <f t="shared" si="15"/>
        <v>212705.56593012495</v>
      </c>
      <c r="Q50" s="5">
        <f t="shared" si="15"/>
        <v>212705.56593012495</v>
      </c>
      <c r="R50" s="5">
        <f t="shared" si="15"/>
        <v>212705.56593012495</v>
      </c>
      <c r="S50" s="5">
        <f t="shared" si="15"/>
        <v>0</v>
      </c>
      <c r="T50" s="5">
        <f t="shared" si="15"/>
        <v>0</v>
      </c>
      <c r="U50" s="5">
        <f t="shared" si="15"/>
        <v>0</v>
      </c>
      <c r="V50" s="5">
        <f t="shared" si="15"/>
        <v>0</v>
      </c>
      <c r="W50" s="5">
        <f t="shared" si="15"/>
        <v>0</v>
      </c>
      <c r="X50" s="5">
        <f t="shared" si="15"/>
        <v>0</v>
      </c>
      <c r="Y50" s="5">
        <f t="shared" si="15"/>
        <v>0</v>
      </c>
      <c r="Z50" s="5">
        <f t="shared" si="15"/>
        <v>0</v>
      </c>
      <c r="AA50" s="5">
        <f t="shared" si="15"/>
        <v>0</v>
      </c>
      <c r="AB50" s="5">
        <f t="shared" si="15"/>
        <v>0</v>
      </c>
    </row>
    <row r="51" spans="1:28" x14ac:dyDescent="0.25">
      <c r="A51" s="4" t="s">
        <v>373</v>
      </c>
      <c r="B51" s="2" t="s">
        <v>225</v>
      </c>
      <c r="D51" s="5">
        <f>'Sources &amp; Uses'!$C$7</f>
        <v>106352.78296506248</v>
      </c>
      <c r="E51" s="5">
        <f t="shared" ref="E51:AB51" si="16">D58</f>
        <v>106352.78296506248</v>
      </c>
      <c r="F51" s="5">
        <f t="shared" si="16"/>
        <v>106352.78296506248</v>
      </c>
      <c r="G51" s="5">
        <f t="shared" si="16"/>
        <v>106352.78296506248</v>
      </c>
      <c r="H51" s="5">
        <f t="shared" si="16"/>
        <v>106352.78296506248</v>
      </c>
      <c r="I51" s="5">
        <f t="shared" si="16"/>
        <v>106352.78296506248</v>
      </c>
      <c r="J51" s="5">
        <f t="shared" si="16"/>
        <v>106352.78296506248</v>
      </c>
      <c r="K51" s="5">
        <f t="shared" si="16"/>
        <v>106352.78296506248</v>
      </c>
      <c r="L51" s="5">
        <f t="shared" si="16"/>
        <v>106352.78296506248</v>
      </c>
      <c r="M51" s="5">
        <f t="shared" si="16"/>
        <v>106352.78296506248</v>
      </c>
      <c r="N51" s="5">
        <f t="shared" si="16"/>
        <v>106352.78296506248</v>
      </c>
      <c r="O51" s="5">
        <f t="shared" si="16"/>
        <v>106352.78296506248</v>
      </c>
      <c r="P51" s="5">
        <f t="shared" si="16"/>
        <v>106352.78296506248</v>
      </c>
      <c r="Q51" s="5">
        <f t="shared" si="16"/>
        <v>106352.78296506248</v>
      </c>
      <c r="R51" s="5">
        <f t="shared" si="16"/>
        <v>106352.78296506248</v>
      </c>
      <c r="S51" s="5">
        <f t="shared" si="16"/>
        <v>0</v>
      </c>
      <c r="T51" s="5">
        <f t="shared" si="16"/>
        <v>0</v>
      </c>
      <c r="U51" s="5">
        <f t="shared" si="16"/>
        <v>0</v>
      </c>
      <c r="V51" s="5">
        <f t="shared" si="16"/>
        <v>0</v>
      </c>
      <c r="W51" s="5">
        <f t="shared" si="16"/>
        <v>0</v>
      </c>
      <c r="X51" s="5">
        <f t="shared" si="16"/>
        <v>0</v>
      </c>
      <c r="Y51" s="5">
        <f t="shared" si="16"/>
        <v>0</v>
      </c>
      <c r="Z51" s="5">
        <f t="shared" si="16"/>
        <v>0</v>
      </c>
      <c r="AA51" s="5">
        <f t="shared" si="16"/>
        <v>0</v>
      </c>
      <c r="AB51" s="5">
        <f t="shared" si="16"/>
        <v>0</v>
      </c>
    </row>
    <row r="52" spans="1:28" x14ac:dyDescent="0.25">
      <c r="A52" s="4" t="s">
        <v>374</v>
      </c>
      <c r="B52" s="2" t="s">
        <v>225</v>
      </c>
      <c r="D52" s="5">
        <f t="shared" ref="D52:AB52" si="17">MAX(0,MIN(D49-D50,D51))</f>
        <v>0</v>
      </c>
      <c r="E52" s="5">
        <f t="shared" si="17"/>
        <v>0</v>
      </c>
      <c r="F52" s="5">
        <f t="shared" si="17"/>
        <v>0</v>
      </c>
      <c r="G52" s="5">
        <f t="shared" si="17"/>
        <v>0</v>
      </c>
      <c r="H52" s="5">
        <f t="shared" si="17"/>
        <v>0</v>
      </c>
      <c r="I52" s="5">
        <f t="shared" si="17"/>
        <v>0</v>
      </c>
      <c r="J52" s="5">
        <f t="shared" si="17"/>
        <v>0</v>
      </c>
      <c r="K52" s="5">
        <f t="shared" si="17"/>
        <v>0</v>
      </c>
      <c r="L52" s="5">
        <f t="shared" si="17"/>
        <v>0</v>
      </c>
      <c r="M52" s="5">
        <f t="shared" si="17"/>
        <v>0</v>
      </c>
      <c r="N52" s="5">
        <f t="shared" si="17"/>
        <v>0</v>
      </c>
      <c r="O52" s="5">
        <f t="shared" si="17"/>
        <v>0</v>
      </c>
      <c r="P52" s="5">
        <f t="shared" si="17"/>
        <v>0</v>
      </c>
      <c r="Q52" s="5">
        <f t="shared" si="17"/>
        <v>0</v>
      </c>
      <c r="R52" s="5">
        <f t="shared" si="17"/>
        <v>0</v>
      </c>
      <c r="S52" s="5">
        <f t="shared" si="17"/>
        <v>0</v>
      </c>
      <c r="T52" s="5">
        <f t="shared" si="17"/>
        <v>0</v>
      </c>
      <c r="U52" s="5">
        <f t="shared" si="17"/>
        <v>0</v>
      </c>
      <c r="V52" s="5">
        <f t="shared" si="17"/>
        <v>0</v>
      </c>
      <c r="W52" s="5">
        <f t="shared" si="17"/>
        <v>0</v>
      </c>
      <c r="X52" s="5">
        <f t="shared" si="17"/>
        <v>0</v>
      </c>
      <c r="Y52" s="5">
        <f t="shared" si="17"/>
        <v>0</v>
      </c>
      <c r="Z52" s="5">
        <f t="shared" si="17"/>
        <v>0</v>
      </c>
      <c r="AA52" s="5">
        <f t="shared" si="17"/>
        <v>0</v>
      </c>
      <c r="AB52" s="5">
        <f t="shared" si="17"/>
        <v>0</v>
      </c>
    </row>
    <row r="53" spans="1:28" x14ac:dyDescent="0.25">
      <c r="A53" s="3" t="s">
        <v>375</v>
      </c>
      <c r="B53" s="2" t="s">
        <v>225</v>
      </c>
      <c r="D53" s="25">
        <f t="shared" ref="D53:AB53" si="18">MAX(0,D49-D50-D52)</f>
        <v>0</v>
      </c>
      <c r="E53" s="25">
        <f t="shared" si="18"/>
        <v>0</v>
      </c>
      <c r="F53" s="25">
        <f t="shared" si="18"/>
        <v>0</v>
      </c>
      <c r="G53" s="25">
        <f t="shared" si="18"/>
        <v>0</v>
      </c>
      <c r="H53" s="25">
        <f t="shared" si="18"/>
        <v>0</v>
      </c>
      <c r="I53" s="25">
        <f t="shared" si="18"/>
        <v>0</v>
      </c>
      <c r="J53" s="25">
        <f t="shared" si="18"/>
        <v>0</v>
      </c>
      <c r="K53" s="25">
        <f t="shared" si="18"/>
        <v>0</v>
      </c>
      <c r="L53" s="25">
        <f t="shared" si="18"/>
        <v>0</v>
      </c>
      <c r="M53" s="25">
        <f t="shared" si="18"/>
        <v>0</v>
      </c>
      <c r="N53" s="25">
        <f t="shared" si="18"/>
        <v>0</v>
      </c>
      <c r="O53" s="25">
        <f t="shared" si="18"/>
        <v>0</v>
      </c>
      <c r="P53" s="25">
        <f t="shared" si="18"/>
        <v>0</v>
      </c>
      <c r="Q53" s="25">
        <f t="shared" si="18"/>
        <v>0</v>
      </c>
      <c r="R53" s="25">
        <f t="shared" si="18"/>
        <v>0</v>
      </c>
      <c r="S53" s="25">
        <f t="shared" si="18"/>
        <v>0</v>
      </c>
      <c r="T53" s="25">
        <f t="shared" si="18"/>
        <v>0</v>
      </c>
      <c r="U53" s="25">
        <f t="shared" si="18"/>
        <v>0</v>
      </c>
      <c r="V53" s="25">
        <f t="shared" si="18"/>
        <v>0</v>
      </c>
      <c r="W53" s="25">
        <f t="shared" si="18"/>
        <v>0</v>
      </c>
      <c r="X53" s="25">
        <f t="shared" si="18"/>
        <v>0</v>
      </c>
      <c r="Y53" s="25">
        <f t="shared" si="18"/>
        <v>0</v>
      </c>
      <c r="Z53" s="25">
        <f t="shared" si="18"/>
        <v>0</v>
      </c>
      <c r="AA53" s="25">
        <f t="shared" si="18"/>
        <v>0</v>
      </c>
      <c r="AB53" s="25">
        <f t="shared" si="18"/>
        <v>0</v>
      </c>
    </row>
    <row r="54" spans="1:28" x14ac:dyDescent="0.25">
      <c r="A54" s="3" t="s">
        <v>376</v>
      </c>
      <c r="B54" s="2" t="s">
        <v>225</v>
      </c>
      <c r="D54" s="25">
        <f t="shared" ref="D54:AB54" si="19">MIN(D44,D53)</f>
        <v>0</v>
      </c>
      <c r="E54" s="25">
        <f t="shared" si="19"/>
        <v>0</v>
      </c>
      <c r="F54" s="25">
        <f t="shared" si="19"/>
        <v>0</v>
      </c>
      <c r="G54" s="25">
        <f t="shared" si="19"/>
        <v>0</v>
      </c>
      <c r="H54" s="25">
        <f t="shared" si="19"/>
        <v>0</v>
      </c>
      <c r="I54" s="25">
        <f t="shared" si="19"/>
        <v>0</v>
      </c>
      <c r="J54" s="25">
        <f t="shared" si="19"/>
        <v>0</v>
      </c>
      <c r="K54" s="25">
        <f t="shared" si="19"/>
        <v>0</v>
      </c>
      <c r="L54" s="25">
        <f t="shared" si="19"/>
        <v>0</v>
      </c>
      <c r="M54" s="25">
        <f t="shared" si="19"/>
        <v>0</v>
      </c>
      <c r="N54" s="25">
        <f t="shared" si="19"/>
        <v>0</v>
      </c>
      <c r="O54" s="25">
        <f t="shared" si="19"/>
        <v>0</v>
      </c>
      <c r="P54" s="25">
        <f t="shared" si="19"/>
        <v>0</v>
      </c>
      <c r="Q54" s="25">
        <f t="shared" si="19"/>
        <v>0</v>
      </c>
      <c r="R54" s="25">
        <f t="shared" si="19"/>
        <v>0</v>
      </c>
      <c r="S54" s="25">
        <f t="shared" si="19"/>
        <v>0</v>
      </c>
      <c r="T54" s="25">
        <f t="shared" si="19"/>
        <v>0</v>
      </c>
      <c r="U54" s="25">
        <f t="shared" si="19"/>
        <v>0</v>
      </c>
      <c r="V54" s="25">
        <f t="shared" si="19"/>
        <v>0</v>
      </c>
      <c r="W54" s="25">
        <f t="shared" si="19"/>
        <v>0</v>
      </c>
      <c r="X54" s="25">
        <f t="shared" si="19"/>
        <v>0</v>
      </c>
      <c r="Y54" s="25">
        <f t="shared" si="19"/>
        <v>0</v>
      </c>
      <c r="Z54" s="25">
        <f t="shared" si="19"/>
        <v>0</v>
      </c>
      <c r="AA54" s="25">
        <f t="shared" si="19"/>
        <v>0</v>
      </c>
      <c r="AB54" s="25">
        <f t="shared" si="19"/>
        <v>0</v>
      </c>
    </row>
    <row r="55" spans="1:28" x14ac:dyDescent="0.25">
      <c r="A55" s="4" t="s">
        <v>377</v>
      </c>
      <c r="B55" s="2" t="s">
        <v>225</v>
      </c>
      <c r="D55" s="5">
        <f>Inputs!$C$58/12*E44</f>
        <v>106352.78296506248</v>
      </c>
      <c r="E55" s="5">
        <f>Inputs!$C$58/12*F44</f>
        <v>106352.78296506248</v>
      </c>
      <c r="F55" s="5">
        <f>Inputs!$C$58/12*G44</f>
        <v>106352.78296506248</v>
      </c>
      <c r="G55" s="5">
        <f>Inputs!$C$58/12*H44</f>
        <v>106352.78296506248</v>
      </c>
      <c r="H55" s="5">
        <f>Inputs!$C$58/12*I44</f>
        <v>106352.78296506248</v>
      </c>
      <c r="I55" s="5">
        <f>Inputs!$C$58/12*J44</f>
        <v>106352.78296506248</v>
      </c>
      <c r="J55" s="5">
        <f>Inputs!$C$58/12*K44</f>
        <v>106352.78296506248</v>
      </c>
      <c r="K55" s="5">
        <f>Inputs!$C$58/12*L44</f>
        <v>106352.78296506248</v>
      </c>
      <c r="L55" s="5">
        <f>Inputs!$C$58/12*M44</f>
        <v>106352.78296506248</v>
      </c>
      <c r="M55" s="5">
        <f>Inputs!$C$58/12*N44</f>
        <v>106352.78296506248</v>
      </c>
      <c r="N55" s="5">
        <f>Inputs!$C$58/12*O44</f>
        <v>106352.78296506248</v>
      </c>
      <c r="O55" s="5">
        <f>Inputs!$C$58/12*P44</f>
        <v>106352.78296506248</v>
      </c>
      <c r="P55" s="5">
        <f>Inputs!$C$58/12*Q44</f>
        <v>106352.78296506248</v>
      </c>
      <c r="Q55" s="5">
        <f>Inputs!$C$58/12*R44</f>
        <v>106352.78296506248</v>
      </c>
      <c r="R55" s="5">
        <f>Inputs!$C$58/12*S44</f>
        <v>0</v>
      </c>
      <c r="S55" s="5">
        <f>Inputs!$C$58/12*T44</f>
        <v>0</v>
      </c>
      <c r="T55" s="5">
        <f>Inputs!$C$58/12*U44</f>
        <v>0</v>
      </c>
      <c r="U55" s="5">
        <f>Inputs!$C$58/12*V44</f>
        <v>0</v>
      </c>
      <c r="V55" s="5">
        <f>Inputs!$C$58/12*W44</f>
        <v>0</v>
      </c>
      <c r="W55" s="5">
        <f>Inputs!$C$58/12*X44</f>
        <v>0</v>
      </c>
      <c r="X55" s="5">
        <f>Inputs!$C$58/12*Y44</f>
        <v>0</v>
      </c>
      <c r="Y55" s="5">
        <f>Inputs!$C$58/12*Z44</f>
        <v>0</v>
      </c>
      <c r="Z55" s="5">
        <f>Inputs!$C$58/12*AA44</f>
        <v>0</v>
      </c>
      <c r="AA55" s="5">
        <f>Inputs!$C$58/12*AB44</f>
        <v>0</v>
      </c>
      <c r="AB55" s="5">
        <f>0</f>
        <v>0</v>
      </c>
    </row>
    <row r="56" spans="1:28" x14ac:dyDescent="0.25">
      <c r="A56" s="4" t="s">
        <v>378</v>
      </c>
      <c r="B56" s="2" t="s">
        <v>225</v>
      </c>
      <c r="D56" s="5">
        <f t="shared" ref="D56:AB56" si="20">MAX(0,MIN(D42+D46-D50,MAX(0,D55-(D51-D52))))</f>
        <v>0</v>
      </c>
      <c r="E56" s="5">
        <f t="shared" si="20"/>
        <v>0</v>
      </c>
      <c r="F56" s="5">
        <f t="shared" si="20"/>
        <v>0</v>
      </c>
      <c r="G56" s="5">
        <f t="shared" si="20"/>
        <v>0</v>
      </c>
      <c r="H56" s="5">
        <f t="shared" si="20"/>
        <v>0</v>
      </c>
      <c r="I56" s="5">
        <f t="shared" si="20"/>
        <v>0</v>
      </c>
      <c r="J56" s="5">
        <f t="shared" si="20"/>
        <v>0</v>
      </c>
      <c r="K56" s="5">
        <f t="shared" si="20"/>
        <v>0</v>
      </c>
      <c r="L56" s="5">
        <f t="shared" si="20"/>
        <v>0</v>
      </c>
      <c r="M56" s="5">
        <f t="shared" si="20"/>
        <v>0</v>
      </c>
      <c r="N56" s="5">
        <f t="shared" si="20"/>
        <v>0</v>
      </c>
      <c r="O56" s="5">
        <f t="shared" si="20"/>
        <v>0</v>
      </c>
      <c r="P56" s="5">
        <f t="shared" si="20"/>
        <v>0</v>
      </c>
      <c r="Q56" s="5">
        <f t="shared" si="20"/>
        <v>0</v>
      </c>
      <c r="R56" s="5">
        <f t="shared" si="20"/>
        <v>0</v>
      </c>
      <c r="S56" s="5">
        <f t="shared" si="20"/>
        <v>0</v>
      </c>
      <c r="T56" s="5">
        <f t="shared" si="20"/>
        <v>0</v>
      </c>
      <c r="U56" s="5">
        <f t="shared" si="20"/>
        <v>0</v>
      </c>
      <c r="V56" s="5">
        <f t="shared" si="20"/>
        <v>0</v>
      </c>
      <c r="W56" s="5">
        <f t="shared" si="20"/>
        <v>0</v>
      </c>
      <c r="X56" s="5">
        <f t="shared" si="20"/>
        <v>0</v>
      </c>
      <c r="Y56" s="5">
        <f t="shared" si="20"/>
        <v>0</v>
      </c>
      <c r="Z56" s="5">
        <f t="shared" si="20"/>
        <v>0</v>
      </c>
      <c r="AA56" s="5">
        <f t="shared" si="20"/>
        <v>0</v>
      </c>
      <c r="AB56" s="5">
        <f t="shared" si="20"/>
        <v>0</v>
      </c>
    </row>
    <row r="57" spans="1:28" x14ac:dyDescent="0.25">
      <c r="A57" s="4" t="s">
        <v>379</v>
      </c>
      <c r="B57" s="2" t="s">
        <v>225</v>
      </c>
      <c r="D57" s="5">
        <f t="shared" ref="D57:AB57" si="21">MAX(0,(D51-D52)-D55)</f>
        <v>0</v>
      </c>
      <c r="E57" s="5">
        <f t="shared" si="21"/>
        <v>0</v>
      </c>
      <c r="F57" s="5">
        <f t="shared" si="21"/>
        <v>0</v>
      </c>
      <c r="G57" s="5">
        <f t="shared" si="21"/>
        <v>0</v>
      </c>
      <c r="H57" s="5">
        <f t="shared" si="21"/>
        <v>0</v>
      </c>
      <c r="I57" s="5">
        <f t="shared" si="21"/>
        <v>0</v>
      </c>
      <c r="J57" s="5">
        <f t="shared" si="21"/>
        <v>0</v>
      </c>
      <c r="K57" s="5">
        <f t="shared" si="21"/>
        <v>0</v>
      </c>
      <c r="L57" s="5">
        <f t="shared" si="21"/>
        <v>0</v>
      </c>
      <c r="M57" s="5">
        <f t="shared" si="21"/>
        <v>0</v>
      </c>
      <c r="N57" s="5">
        <f t="shared" si="21"/>
        <v>0</v>
      </c>
      <c r="O57" s="5">
        <f t="shared" si="21"/>
        <v>0</v>
      </c>
      <c r="P57" s="5">
        <f t="shared" si="21"/>
        <v>0</v>
      </c>
      <c r="Q57" s="5">
        <f t="shared" si="21"/>
        <v>0</v>
      </c>
      <c r="R57" s="5">
        <f t="shared" si="21"/>
        <v>106352.78296506248</v>
      </c>
      <c r="S57" s="5">
        <f t="shared" si="21"/>
        <v>0</v>
      </c>
      <c r="T57" s="5">
        <f t="shared" si="21"/>
        <v>0</v>
      </c>
      <c r="U57" s="5">
        <f t="shared" si="21"/>
        <v>0</v>
      </c>
      <c r="V57" s="5">
        <f t="shared" si="21"/>
        <v>0</v>
      </c>
      <c r="W57" s="5">
        <f t="shared" si="21"/>
        <v>0</v>
      </c>
      <c r="X57" s="5">
        <f t="shared" si="21"/>
        <v>0</v>
      </c>
      <c r="Y57" s="5">
        <f t="shared" si="21"/>
        <v>0</v>
      </c>
      <c r="Z57" s="5">
        <f t="shared" si="21"/>
        <v>0</v>
      </c>
      <c r="AA57" s="5">
        <f t="shared" si="21"/>
        <v>0</v>
      </c>
      <c r="AB57" s="5">
        <f t="shared" si="21"/>
        <v>0</v>
      </c>
    </row>
    <row r="58" spans="1:28" x14ac:dyDescent="0.25">
      <c r="A58" s="4" t="s">
        <v>380</v>
      </c>
      <c r="B58" s="2" t="s">
        <v>225</v>
      </c>
      <c r="D58" s="5">
        <f t="shared" ref="D58:AB58" si="22">D51-D52+D56-D57</f>
        <v>106352.78296506248</v>
      </c>
      <c r="E58" s="5">
        <f t="shared" si="22"/>
        <v>106352.78296506248</v>
      </c>
      <c r="F58" s="5">
        <f t="shared" si="22"/>
        <v>106352.78296506248</v>
      </c>
      <c r="G58" s="5">
        <f t="shared" si="22"/>
        <v>106352.78296506248</v>
      </c>
      <c r="H58" s="5">
        <f t="shared" si="22"/>
        <v>106352.78296506248</v>
      </c>
      <c r="I58" s="5">
        <f t="shared" si="22"/>
        <v>106352.78296506248</v>
      </c>
      <c r="J58" s="5">
        <f t="shared" si="22"/>
        <v>106352.78296506248</v>
      </c>
      <c r="K58" s="5">
        <f t="shared" si="22"/>
        <v>106352.78296506248</v>
      </c>
      <c r="L58" s="5">
        <f t="shared" si="22"/>
        <v>106352.78296506248</v>
      </c>
      <c r="M58" s="5">
        <f t="shared" si="22"/>
        <v>106352.78296506248</v>
      </c>
      <c r="N58" s="5">
        <f t="shared" si="22"/>
        <v>106352.78296506248</v>
      </c>
      <c r="O58" s="5">
        <f t="shared" si="22"/>
        <v>106352.78296506248</v>
      </c>
      <c r="P58" s="5">
        <f t="shared" si="22"/>
        <v>106352.78296506248</v>
      </c>
      <c r="Q58" s="5">
        <f t="shared" si="22"/>
        <v>106352.78296506248</v>
      </c>
      <c r="R58" s="5">
        <f t="shared" si="22"/>
        <v>0</v>
      </c>
      <c r="S58" s="5">
        <f t="shared" si="22"/>
        <v>0</v>
      </c>
      <c r="T58" s="5">
        <f t="shared" si="22"/>
        <v>0</v>
      </c>
      <c r="U58" s="5">
        <f t="shared" si="22"/>
        <v>0</v>
      </c>
      <c r="V58" s="5">
        <f t="shared" si="22"/>
        <v>0</v>
      </c>
      <c r="W58" s="5">
        <f t="shared" si="22"/>
        <v>0</v>
      </c>
      <c r="X58" s="5">
        <f t="shared" si="22"/>
        <v>0</v>
      </c>
      <c r="Y58" s="5">
        <f t="shared" si="22"/>
        <v>0</v>
      </c>
      <c r="Z58" s="5">
        <f t="shared" si="22"/>
        <v>0</v>
      </c>
      <c r="AA58" s="5">
        <f t="shared" si="22"/>
        <v>0</v>
      </c>
      <c r="AB58" s="5">
        <f t="shared" si="22"/>
        <v>0</v>
      </c>
    </row>
    <row r="59" spans="1:28" x14ac:dyDescent="0.25">
      <c r="A59" s="4" t="s">
        <v>381</v>
      </c>
      <c r="B59" s="2" t="s">
        <v>225</v>
      </c>
      <c r="D59" s="5">
        <f t="shared" ref="D59:AB59" si="23">D42+D46-D50-D56+D57</f>
        <v>57648.170155049709</v>
      </c>
      <c r="E59" s="5">
        <f t="shared" si="23"/>
        <v>53287.100325399078</v>
      </c>
      <c r="F59" s="5">
        <f t="shared" si="23"/>
        <v>48839.581354821217</v>
      </c>
      <c r="G59" s="5">
        <f t="shared" si="23"/>
        <v>44302.501167563663</v>
      </c>
      <c r="H59" s="5">
        <f t="shared" si="23"/>
        <v>39672.607518476812</v>
      </c>
      <c r="I59" s="5">
        <f t="shared" si="23"/>
        <v>34946.500076420343</v>
      </c>
      <c r="J59" s="5">
        <f t="shared" si="23"/>
        <v>30120.622017171874</v>
      </c>
      <c r="K59" s="5">
        <f t="shared" si="23"/>
        <v>25191.251094435371</v>
      </c>
      <c r="L59" s="5">
        <f t="shared" si="23"/>
        <v>20154.490155516018</v>
      </c>
      <c r="M59" s="5">
        <f t="shared" si="23"/>
        <v>35059.974770803819</v>
      </c>
      <c r="N59" s="5">
        <f t="shared" si="23"/>
        <v>44626.948902947159</v>
      </c>
      <c r="O59" s="5">
        <f t="shared" si="23"/>
        <v>48761.870254652487</v>
      </c>
      <c r="P59" s="5">
        <f t="shared" si="23"/>
        <v>47366.960216598585</v>
      </c>
      <c r="Q59" s="5">
        <f t="shared" si="23"/>
        <v>40339.993061259418</v>
      </c>
      <c r="R59" s="5">
        <f t="shared" si="23"/>
        <v>133926.85550589758</v>
      </c>
      <c r="S59" s="5">
        <f t="shared" si="23"/>
        <v>164337.72345333153</v>
      </c>
      <c r="T59" s="5">
        <f t="shared" si="23"/>
        <v>27383.956718456087</v>
      </c>
      <c r="U59" s="5">
        <f t="shared" si="23"/>
        <v>23612.032924022555</v>
      </c>
      <c r="V59" s="5">
        <f t="shared" si="23"/>
        <v>19763.133065415634</v>
      </c>
      <c r="W59" s="5">
        <f t="shared" si="23"/>
        <v>15835.627771704865</v>
      </c>
      <c r="X59" s="5">
        <f t="shared" si="23"/>
        <v>8469.5463494714804</v>
      </c>
      <c r="Y59" s="5">
        <f t="shared" si="23"/>
        <v>4442.4719810478637</v>
      </c>
      <c r="Z59" s="5">
        <f t="shared" si="23"/>
        <v>351.68478643744345</v>
      </c>
      <c r="AA59" s="5">
        <f t="shared" si="23"/>
        <v>-4829.1768100989284</v>
      </c>
      <c r="AB59" s="5">
        <f t="shared" si="23"/>
        <v>-10375.300706925773</v>
      </c>
    </row>
    <row r="60" spans="1:28" x14ac:dyDescent="0.25">
      <c r="A60" s="4" t="s">
        <v>382</v>
      </c>
      <c r="B60" s="2" t="s">
        <v>225</v>
      </c>
      <c r="D60" s="5">
        <f>IF(AND(D53&lt;0.5,IF(D44&gt;0,D42/D44,99)&gt;=Inputs!$C$59),D59,0)</f>
        <v>57648.170155049709</v>
      </c>
      <c r="E60" s="5">
        <f>IF(AND(E53&lt;0.5,IF(E44&gt;0,E42/E44,99)&gt;=Inputs!$C$59),E59,0)</f>
        <v>53287.100325399078</v>
      </c>
      <c r="F60" s="5">
        <f>IF(AND(F53&lt;0.5,IF(F44&gt;0,F42/F44,99)&gt;=Inputs!$C$59),F59,0)</f>
        <v>48839.581354821217</v>
      </c>
      <c r="G60" s="5">
        <f>IF(AND(G53&lt;0.5,IF(G44&gt;0,G42/G44,99)&gt;=Inputs!$C$59),G59,0)</f>
        <v>44302.501167563663</v>
      </c>
      <c r="H60" s="5">
        <f>IF(AND(H53&lt;0.5,IF(H44&gt;0,H42/H44,99)&gt;=Inputs!$C$59),H59,0)</f>
        <v>39672.607518476812</v>
      </c>
      <c r="I60" s="5">
        <f>IF(AND(I53&lt;0.5,IF(I44&gt;0,I42/I44,99)&gt;=Inputs!$C$59),I59,0)</f>
        <v>34946.500076420343</v>
      </c>
      <c r="J60" s="5">
        <f>IF(AND(J53&lt;0.5,IF(J44&gt;0,J42/J44,99)&gt;=Inputs!$C$59),J59,0)</f>
        <v>30120.622017171874</v>
      </c>
      <c r="K60" s="5">
        <f>IF(AND(K53&lt;0.5,IF(K44&gt;0,K42/K44,99)&gt;=Inputs!$C$59),K59,0)</f>
        <v>25191.251094435371</v>
      </c>
      <c r="L60" s="5">
        <f>IF(AND(L53&lt;0.5,IF(L44&gt;0,L42/L44,99)&gt;=Inputs!$C$59),L59,0)</f>
        <v>0</v>
      </c>
      <c r="M60" s="5">
        <f>IF(AND(M53&lt;0.5,IF(M44&gt;0,M42/M44,99)&gt;=Inputs!$C$59),M59,0)</f>
        <v>0</v>
      </c>
      <c r="N60" s="5">
        <f>IF(AND(N53&lt;0.5,IF(N44&gt;0,N42/N44,99)&gt;=Inputs!$C$59),N59,0)</f>
        <v>0</v>
      </c>
      <c r="O60" s="5">
        <f>IF(AND(O53&lt;0.5,IF(O44&gt;0,O42/O44,99)&gt;=Inputs!$C$59),O59,0)</f>
        <v>0</v>
      </c>
      <c r="P60" s="5">
        <f>IF(AND(P53&lt;0.5,IF(P44&gt;0,P42/P44,99)&gt;=Inputs!$C$59),P59,0)</f>
        <v>0</v>
      </c>
      <c r="Q60" s="5">
        <f>IF(AND(Q53&lt;0.5,IF(Q44&gt;0,Q42/Q44,99)&gt;=Inputs!$C$59),Q59,0)</f>
        <v>0</v>
      </c>
      <c r="R60" s="5">
        <f>IF(AND(R53&lt;0.5,IF(R44&gt;0,R42/R44,99)&gt;=Inputs!$C$59),R59,0)</f>
        <v>0</v>
      </c>
      <c r="S60" s="5">
        <f>IF(AND(S53&lt;0.5,IF(S44&gt;0,S42/S44,99)&gt;=Inputs!$C$59),S59,0)</f>
        <v>164337.72345333153</v>
      </c>
      <c r="T60" s="5">
        <f>IF(AND(T53&lt;0.5,IF(T44&gt;0,T42/T44,99)&gt;=Inputs!$C$59),T59,0)</f>
        <v>27383.956718456087</v>
      </c>
      <c r="U60" s="5">
        <f>IF(AND(U53&lt;0.5,IF(U44&gt;0,U42/U44,99)&gt;=Inputs!$C$59),U59,0)</f>
        <v>23612.032924022555</v>
      </c>
      <c r="V60" s="5">
        <f>IF(AND(V53&lt;0.5,IF(V44&gt;0,V42/V44,99)&gt;=Inputs!$C$59),V59,0)</f>
        <v>19763.133065415634</v>
      </c>
      <c r="W60" s="5">
        <f>IF(AND(W53&lt;0.5,IF(W44&gt;0,W42/W44,99)&gt;=Inputs!$C$59),W59,0)</f>
        <v>15835.627771704865</v>
      </c>
      <c r="X60" s="5">
        <f>IF(AND(X53&lt;0.5,IF(X44&gt;0,X42/X44,99)&gt;=Inputs!$C$59),X59,0)</f>
        <v>8469.5463494714804</v>
      </c>
      <c r="Y60" s="5">
        <f>IF(AND(Y53&lt;0.5,IF(Y44&gt;0,Y42/Y44,99)&gt;=Inputs!$C$59),Y59,0)</f>
        <v>4442.4719810478637</v>
      </c>
      <c r="Z60" s="5">
        <f>IF(AND(Z53&lt;0.5,IF(Z44&gt;0,Z42/Z44,99)&gt;=Inputs!$C$59),Z59,0)</f>
        <v>351.68478643744345</v>
      </c>
      <c r="AA60" s="5">
        <f>IF(AND(AA53&lt;0.5,IF(AA44&gt;0,AA42/AA44,99)&gt;=Inputs!$C$59),AA59,0)</f>
        <v>-4829.1768100989284</v>
      </c>
      <c r="AB60" s="5">
        <f>IF(AND(AB53&lt;0.5,IF(AB44&gt;0,AB42/AB44,99)&gt;=Inputs!$C$59),AB59,0)</f>
        <v>-10375.300706925773</v>
      </c>
    </row>
    <row r="61" spans="1:28" x14ac:dyDescent="0.25">
      <c r="A61" s="4" t="s">
        <v>383</v>
      </c>
      <c r="B61" s="2" t="s">
        <v>225</v>
      </c>
      <c r="D61" s="5">
        <f t="shared" ref="D61:AB61" si="24">D59-D60</f>
        <v>0</v>
      </c>
      <c r="E61" s="5">
        <f t="shared" si="24"/>
        <v>0</v>
      </c>
      <c r="F61" s="5">
        <f t="shared" si="24"/>
        <v>0</v>
      </c>
      <c r="G61" s="5">
        <f t="shared" si="24"/>
        <v>0</v>
      </c>
      <c r="H61" s="5">
        <f t="shared" si="24"/>
        <v>0</v>
      </c>
      <c r="I61" s="5">
        <f t="shared" si="24"/>
        <v>0</v>
      </c>
      <c r="J61" s="5">
        <f t="shared" si="24"/>
        <v>0</v>
      </c>
      <c r="K61" s="5">
        <f t="shared" si="24"/>
        <v>0</v>
      </c>
      <c r="L61" s="5">
        <f t="shared" si="24"/>
        <v>20154.490155516018</v>
      </c>
      <c r="M61" s="5">
        <f t="shared" si="24"/>
        <v>35059.974770803819</v>
      </c>
      <c r="N61" s="5">
        <f t="shared" si="24"/>
        <v>44626.948902947159</v>
      </c>
      <c r="O61" s="5">
        <f t="shared" si="24"/>
        <v>48761.870254652487</v>
      </c>
      <c r="P61" s="5">
        <f t="shared" si="24"/>
        <v>47366.960216598585</v>
      </c>
      <c r="Q61" s="5">
        <f t="shared" si="24"/>
        <v>40339.993061259418</v>
      </c>
      <c r="R61" s="5">
        <f t="shared" si="24"/>
        <v>133926.85550589758</v>
      </c>
      <c r="S61" s="5">
        <f t="shared" si="24"/>
        <v>0</v>
      </c>
      <c r="T61" s="5">
        <f t="shared" si="24"/>
        <v>0</v>
      </c>
      <c r="U61" s="5">
        <f t="shared" si="24"/>
        <v>0</v>
      </c>
      <c r="V61" s="5">
        <f t="shared" si="24"/>
        <v>0</v>
      </c>
      <c r="W61" s="5">
        <f t="shared" si="24"/>
        <v>0</v>
      </c>
      <c r="X61" s="5">
        <f t="shared" si="24"/>
        <v>0</v>
      </c>
      <c r="Y61" s="5">
        <f t="shared" si="24"/>
        <v>0</v>
      </c>
      <c r="Z61" s="5">
        <f t="shared" si="24"/>
        <v>0</v>
      </c>
      <c r="AA61" s="5">
        <f t="shared" si="24"/>
        <v>0</v>
      </c>
      <c r="AB61" s="5">
        <f t="shared" si="24"/>
        <v>0</v>
      </c>
    </row>
    <row r="62" spans="1:28" x14ac:dyDescent="0.25">
      <c r="A62" s="31" t="s">
        <v>384</v>
      </c>
    </row>
    <row r="63" spans="1:28" x14ac:dyDescent="0.25">
      <c r="A63" s="4" t="s">
        <v>385</v>
      </c>
      <c r="B63" s="2" t="s">
        <v>225</v>
      </c>
      <c r="C63" s="5">
        <f>-'Sources &amp; Uses'!$C$15</f>
        <v>-3106352.7829650622</v>
      </c>
      <c r="D63" s="5">
        <f>D60+IF(D$4=Inputs!$C$12,D61+D58,0)</f>
        <v>57648.170155049709</v>
      </c>
      <c r="E63" s="5">
        <f>E60+IF(E$4=Inputs!$C$12,E61+E58,0)</f>
        <v>53287.100325399078</v>
      </c>
      <c r="F63" s="5">
        <f>F60+IF(F$4=Inputs!$C$12,F61+F58,0)</f>
        <v>48839.581354821217</v>
      </c>
      <c r="G63" s="5">
        <f>G60+IF(G$4=Inputs!$C$12,G61+G58,0)</f>
        <v>44302.501167563663</v>
      </c>
      <c r="H63" s="5">
        <f>H60+IF(H$4=Inputs!$C$12,H61+H58,0)</f>
        <v>39672.607518476812</v>
      </c>
      <c r="I63" s="5">
        <f>I60+IF(I$4=Inputs!$C$12,I61+I58,0)</f>
        <v>34946.500076420343</v>
      </c>
      <c r="J63" s="5">
        <f>J60+IF(J$4=Inputs!$C$12,J61+J58,0)</f>
        <v>30120.622017171874</v>
      </c>
      <c r="K63" s="5">
        <f>K60+IF(K$4=Inputs!$C$12,K61+K58,0)</f>
        <v>25191.251094435371</v>
      </c>
      <c r="L63" s="5">
        <f>L60+IF(L$4=Inputs!$C$12,L61+L58,0)</f>
        <v>0</v>
      </c>
      <c r="M63" s="5">
        <f>M60+IF(M$4=Inputs!$C$12,M61+M58,0)</f>
        <v>0</v>
      </c>
      <c r="N63" s="5">
        <f>N60+IF(N$4=Inputs!$C$12,N61+N58,0)</f>
        <v>0</v>
      </c>
      <c r="O63" s="5">
        <f>O60+IF(O$4=Inputs!$C$12,O61+O58,0)</f>
        <v>0</v>
      </c>
      <c r="P63" s="5">
        <f>P60+IF(P$4=Inputs!$C$12,P61+P58,0)</f>
        <v>0</v>
      </c>
      <c r="Q63" s="5">
        <f>Q60+IF(Q$4=Inputs!$C$12,Q61+Q58,0)</f>
        <v>0</v>
      </c>
      <c r="R63" s="5">
        <f>R60+IF(R$4=Inputs!$C$12,R61+R58,0)</f>
        <v>0</v>
      </c>
      <c r="S63" s="5">
        <f>S60+IF(S$4=Inputs!$C$12,S61+S58,0)</f>
        <v>164337.72345333153</v>
      </c>
      <c r="T63" s="5">
        <f>T60+IF(T$4=Inputs!$C$12,T61+T58,0)</f>
        <v>27383.956718456087</v>
      </c>
      <c r="U63" s="5">
        <f>U60+IF(U$4=Inputs!$C$12,U61+U58,0)</f>
        <v>23612.032924022555</v>
      </c>
      <c r="V63" s="5">
        <f>V60+IF(V$4=Inputs!$C$12,V61+V58,0)</f>
        <v>19763.133065415634</v>
      </c>
      <c r="W63" s="5">
        <f>W60+IF(W$4=Inputs!$C$12,W61+W58,0)</f>
        <v>15835.627771704865</v>
      </c>
      <c r="X63" s="5">
        <f>X60+IF(X$4=Inputs!$C$12,X61+X58,0)</f>
        <v>8469.5463494714804</v>
      </c>
      <c r="Y63" s="5">
        <f>Y60+IF(Y$4=Inputs!$C$12,Y61+Y58,0)</f>
        <v>4442.4719810478637</v>
      </c>
      <c r="Z63" s="5">
        <f>Z60+IF(Z$4=Inputs!$C$12,Z61+Z58,0)</f>
        <v>351.68478643744345</v>
      </c>
      <c r="AA63" s="5">
        <f>AA60+IF(AA$4=Inputs!$C$12,AA61+AA58,0)</f>
        <v>-4829.1768100989284</v>
      </c>
      <c r="AB63" s="5">
        <f>AB60+IF(AB$4=Inputs!$C$12,AB61+AB58,0)</f>
        <v>-10375.300706925773</v>
      </c>
    </row>
    <row r="64" spans="1:28" x14ac:dyDescent="0.25">
      <c r="A64" s="4" t="s">
        <v>386</v>
      </c>
      <c r="B64" s="2" t="s">
        <v>225</v>
      </c>
      <c r="D64" s="5">
        <f>D9*(Inputs!$C$17*(1+Inputs!$C$18)^(D$4-1)-D16)</f>
        <v>0</v>
      </c>
      <c r="E64" s="5">
        <f>E9*(Inputs!$C$17*(1+Inputs!$C$18)^(E$4-1)-E16)</f>
        <v>0</v>
      </c>
      <c r="F64" s="5">
        <f>F9*(Inputs!$C$17*(1+Inputs!$C$18)^(F$4-1)-F16)</f>
        <v>0</v>
      </c>
      <c r="G64" s="5">
        <f>G9*(Inputs!$C$17*(1+Inputs!$C$18)^(G$4-1)-G16)</f>
        <v>0</v>
      </c>
      <c r="H64" s="5">
        <f>H9*(Inputs!$C$17*(1+Inputs!$C$18)^(H$4-1)-H16)</f>
        <v>0</v>
      </c>
      <c r="I64" s="5">
        <f>I9*(Inputs!$C$17*(1+Inputs!$C$18)^(I$4-1)-I16)</f>
        <v>0</v>
      </c>
      <c r="J64" s="5">
        <f>J9*(Inputs!$C$17*(1+Inputs!$C$18)^(J$4-1)-J16)</f>
        <v>0</v>
      </c>
      <c r="K64" s="5">
        <f>K9*(Inputs!$C$17*(1+Inputs!$C$18)^(K$4-1)-K16)</f>
        <v>0</v>
      </c>
      <c r="L64" s="5">
        <f>L9*(Inputs!$C$17*(1+Inputs!$C$18)^(L$4-1)-L16)</f>
        <v>0</v>
      </c>
      <c r="M64" s="5">
        <f>M9*(Inputs!$C$17*(1+Inputs!$C$18)^(M$4-1)-M16)</f>
        <v>0</v>
      </c>
      <c r="N64" s="5">
        <f>N9*(Inputs!$C$17*(1+Inputs!$C$18)^(N$4-1)-N16)</f>
        <v>0</v>
      </c>
      <c r="O64" s="5">
        <f>O9*(Inputs!$C$17*(1+Inputs!$C$18)^(O$4-1)-O16)</f>
        <v>0</v>
      </c>
      <c r="P64" s="5">
        <f>P9*(Inputs!$C$17*(1+Inputs!$C$18)^(P$4-1)-P16)</f>
        <v>0</v>
      </c>
      <c r="Q64" s="5">
        <f>Q9*(Inputs!$C$17*(1+Inputs!$C$18)^(Q$4-1)-Q16)</f>
        <v>0</v>
      </c>
      <c r="R64" s="5">
        <f>R9*(Inputs!$C$17*(1+Inputs!$C$18)^(R$4-1)-R16)</f>
        <v>0</v>
      </c>
      <c r="S64" s="5">
        <f>S9*(Inputs!$C$17*(1+Inputs!$C$18)^(S$4-1)-S16)</f>
        <v>0</v>
      </c>
      <c r="T64" s="5">
        <f>T9*(Inputs!$C$17*(1+Inputs!$C$18)^(T$4-1)-T16)</f>
        <v>0</v>
      </c>
      <c r="U64" s="5">
        <f>U9*(Inputs!$C$17*(1+Inputs!$C$18)^(U$4-1)-U16)</f>
        <v>0</v>
      </c>
      <c r="V64" s="5">
        <f>V9*(Inputs!$C$17*(1+Inputs!$C$18)^(V$4-1)-V16)</f>
        <v>0</v>
      </c>
      <c r="W64" s="5">
        <f>W9*(Inputs!$C$17*(1+Inputs!$C$18)^(W$4-1)-W16)</f>
        <v>0</v>
      </c>
      <c r="X64" s="5">
        <f>X9*(Inputs!$C$17*(1+Inputs!$C$18)^(X$4-1)-X16)</f>
        <v>0</v>
      </c>
      <c r="Y64" s="5">
        <f>Y9*(Inputs!$C$17*(1+Inputs!$C$18)^(Y$4-1)-Y16)</f>
        <v>0</v>
      </c>
      <c r="Z64" s="5">
        <f>Z9*(Inputs!$C$17*(1+Inputs!$C$18)^(Z$4-1)-Z16)</f>
        <v>0</v>
      </c>
      <c r="AA64" s="5">
        <f>AA9*(Inputs!$C$17*(1+Inputs!$C$18)^(AA$4-1)-AA16)</f>
        <v>0</v>
      </c>
      <c r="AB64" s="5">
        <f>AB9*(Inputs!$C$17*(1+Inputs!$C$18)^(AB$4-1)-AB16)</f>
        <v>0</v>
      </c>
    </row>
    <row r="65" spans="1:28" x14ac:dyDescent="0.25">
      <c r="A65" s="4" t="s">
        <v>387</v>
      </c>
      <c r="B65" s="2" t="s">
        <v>225</v>
      </c>
      <c r="C65" s="5">
        <f>C63</f>
        <v>-3106352.7829650622</v>
      </c>
      <c r="D65" s="5">
        <f t="shared" ref="D65:AB65" si="25">D63+D64</f>
        <v>57648.170155049709</v>
      </c>
      <c r="E65" s="5">
        <f t="shared" si="25"/>
        <v>53287.100325399078</v>
      </c>
      <c r="F65" s="5">
        <f t="shared" si="25"/>
        <v>48839.581354821217</v>
      </c>
      <c r="G65" s="5">
        <f t="shared" si="25"/>
        <v>44302.501167563663</v>
      </c>
      <c r="H65" s="5">
        <f t="shared" si="25"/>
        <v>39672.607518476812</v>
      </c>
      <c r="I65" s="5">
        <f t="shared" si="25"/>
        <v>34946.500076420343</v>
      </c>
      <c r="J65" s="5">
        <f t="shared" si="25"/>
        <v>30120.622017171874</v>
      </c>
      <c r="K65" s="5">
        <f t="shared" si="25"/>
        <v>25191.251094435371</v>
      </c>
      <c r="L65" s="5">
        <f t="shared" si="25"/>
        <v>0</v>
      </c>
      <c r="M65" s="5">
        <f t="shared" si="25"/>
        <v>0</v>
      </c>
      <c r="N65" s="5">
        <f t="shared" si="25"/>
        <v>0</v>
      </c>
      <c r="O65" s="5">
        <f t="shared" si="25"/>
        <v>0</v>
      </c>
      <c r="P65" s="5">
        <f t="shared" si="25"/>
        <v>0</v>
      </c>
      <c r="Q65" s="5">
        <f t="shared" si="25"/>
        <v>0</v>
      </c>
      <c r="R65" s="5">
        <f t="shared" si="25"/>
        <v>0</v>
      </c>
      <c r="S65" s="5">
        <f t="shared" si="25"/>
        <v>164337.72345333153</v>
      </c>
      <c r="T65" s="5">
        <f t="shared" si="25"/>
        <v>27383.956718456087</v>
      </c>
      <c r="U65" s="5">
        <f t="shared" si="25"/>
        <v>23612.032924022555</v>
      </c>
      <c r="V65" s="5">
        <f t="shared" si="25"/>
        <v>19763.133065415634</v>
      </c>
      <c r="W65" s="5">
        <f t="shared" si="25"/>
        <v>15835.627771704865</v>
      </c>
      <c r="X65" s="5">
        <f t="shared" si="25"/>
        <v>8469.5463494714804</v>
      </c>
      <c r="Y65" s="5">
        <f t="shared" si="25"/>
        <v>4442.4719810478637</v>
      </c>
      <c r="Z65" s="5">
        <f t="shared" si="25"/>
        <v>351.68478643744345</v>
      </c>
      <c r="AA65" s="5">
        <f t="shared" si="25"/>
        <v>-4829.1768100989284</v>
      </c>
      <c r="AB65" s="5">
        <f t="shared" si="25"/>
        <v>-10375.300706925773</v>
      </c>
    </row>
    <row r="66" spans="1:28" x14ac:dyDescent="0.25">
      <c r="A66" s="4" t="s">
        <v>388</v>
      </c>
      <c r="B66" s="2" t="s">
        <v>225</v>
      </c>
      <c r="D66" s="35">
        <f t="shared" ref="D66:AB66" si="26">IF(D44&gt;1,MAX(0,D44-D42),0)</f>
        <v>0</v>
      </c>
      <c r="E66" s="35">
        <f t="shared" si="26"/>
        <v>0</v>
      </c>
      <c r="F66" s="35">
        <f t="shared" si="26"/>
        <v>0</v>
      </c>
      <c r="G66" s="35">
        <f t="shared" si="26"/>
        <v>0</v>
      </c>
      <c r="H66" s="35">
        <f t="shared" si="26"/>
        <v>0</v>
      </c>
      <c r="I66" s="35">
        <f t="shared" si="26"/>
        <v>0</v>
      </c>
      <c r="J66" s="35">
        <f t="shared" si="26"/>
        <v>0</v>
      </c>
      <c r="K66" s="35">
        <f t="shared" si="26"/>
        <v>0</v>
      </c>
      <c r="L66" s="35">
        <f t="shared" si="26"/>
        <v>0</v>
      </c>
      <c r="M66" s="35">
        <f t="shared" si="26"/>
        <v>0</v>
      </c>
      <c r="N66" s="35">
        <f t="shared" si="26"/>
        <v>0</v>
      </c>
      <c r="O66" s="35">
        <f t="shared" si="26"/>
        <v>0</v>
      </c>
      <c r="P66" s="35">
        <f t="shared" si="26"/>
        <v>1394.9100380539021</v>
      </c>
      <c r="Q66" s="35">
        <f t="shared" si="26"/>
        <v>7026.9671553391672</v>
      </c>
      <c r="R66" s="35">
        <f t="shared" si="26"/>
        <v>12765.920520424319</v>
      </c>
      <c r="S66" s="35">
        <f t="shared" si="26"/>
        <v>0</v>
      </c>
      <c r="T66" s="35">
        <f t="shared" si="26"/>
        <v>0</v>
      </c>
      <c r="U66" s="35">
        <f t="shared" si="26"/>
        <v>0</v>
      </c>
      <c r="V66" s="35">
        <f t="shared" si="26"/>
        <v>0</v>
      </c>
      <c r="W66" s="35">
        <f t="shared" si="26"/>
        <v>0</v>
      </c>
      <c r="X66" s="35">
        <f t="shared" si="26"/>
        <v>0</v>
      </c>
      <c r="Y66" s="35">
        <f t="shared" si="26"/>
        <v>0</v>
      </c>
      <c r="Z66" s="35">
        <f t="shared" si="26"/>
        <v>0</v>
      </c>
      <c r="AA66" s="35">
        <f t="shared" si="26"/>
        <v>0</v>
      </c>
      <c r="AB66" s="35">
        <f t="shared" si="26"/>
        <v>0</v>
      </c>
    </row>
    <row r="67" spans="1:28" x14ac:dyDescent="0.25">
      <c r="A67" s="4" t="s">
        <v>389</v>
      </c>
      <c r="B67" s="2" t="s">
        <v>277</v>
      </c>
      <c r="D67" s="36">
        <f>IF(AND(D44&gt;1,D42&lt;Inputs!$C$59*D44),D$4,999)</f>
        <v>999</v>
      </c>
      <c r="E67" s="36">
        <f>IF(AND(E44&gt;1,E42&lt;Inputs!$C$59*E44),E$4,999)</f>
        <v>999</v>
      </c>
      <c r="F67" s="36">
        <f>IF(AND(F44&gt;1,F42&lt;Inputs!$C$59*F44),F$4,999)</f>
        <v>999</v>
      </c>
      <c r="G67" s="36">
        <f>IF(AND(G44&gt;1,G42&lt;Inputs!$C$59*G44),G$4,999)</f>
        <v>999</v>
      </c>
      <c r="H67" s="36">
        <f>IF(AND(H44&gt;1,H42&lt;Inputs!$C$59*H44),H$4,999)</f>
        <v>999</v>
      </c>
      <c r="I67" s="36">
        <f>IF(AND(I44&gt;1,I42&lt;Inputs!$C$59*I44),I$4,999)</f>
        <v>999</v>
      </c>
      <c r="J67" s="36">
        <f>IF(AND(J44&gt;1,J42&lt;Inputs!$C$59*J44),J$4,999)</f>
        <v>999</v>
      </c>
      <c r="K67" s="36">
        <f>IF(AND(K44&gt;1,K42&lt;Inputs!$C$59*K44),K$4,999)</f>
        <v>999</v>
      </c>
      <c r="L67" s="36">
        <f>IF(AND(L44&gt;1,L42&lt;Inputs!$C$59*L44),L$4,999)</f>
        <v>9</v>
      </c>
      <c r="M67" s="36">
        <f>IF(AND(M44&gt;1,M42&lt;Inputs!$C$59*M44),M$4,999)</f>
        <v>10</v>
      </c>
      <c r="N67" s="36">
        <f>IF(AND(N44&gt;1,N42&lt;Inputs!$C$59*N44),N$4,999)</f>
        <v>11</v>
      </c>
      <c r="O67" s="36">
        <f>IF(AND(O44&gt;1,O42&lt;Inputs!$C$59*O44),O$4,999)</f>
        <v>12</v>
      </c>
      <c r="P67" s="36">
        <f>IF(AND(P44&gt;1,P42&lt;Inputs!$C$59*P44),P$4,999)</f>
        <v>13</v>
      </c>
      <c r="Q67" s="36">
        <f>IF(AND(Q44&gt;1,Q42&lt;Inputs!$C$59*Q44),Q$4,999)</f>
        <v>14</v>
      </c>
      <c r="R67" s="36">
        <f>IF(AND(R44&gt;1,R42&lt;Inputs!$C$59*R44),R$4,999)</f>
        <v>15</v>
      </c>
      <c r="S67" s="36">
        <f>IF(AND(S44&gt;1,S42&lt;Inputs!$C$59*S44),S$4,999)</f>
        <v>999</v>
      </c>
      <c r="T67" s="36">
        <f>IF(AND(T44&gt;1,T42&lt;Inputs!$C$59*T44),T$4,999)</f>
        <v>999</v>
      </c>
      <c r="U67" s="36">
        <f>IF(AND(U44&gt;1,U42&lt;Inputs!$C$59*U44),U$4,999)</f>
        <v>999</v>
      </c>
      <c r="V67" s="36">
        <f>IF(AND(V44&gt;1,V42&lt;Inputs!$C$59*V44),V$4,999)</f>
        <v>999</v>
      </c>
      <c r="W67" s="36">
        <f>IF(AND(W44&gt;1,W42&lt;Inputs!$C$59*W44),W$4,999)</f>
        <v>999</v>
      </c>
      <c r="X67" s="36">
        <f>IF(AND(X44&gt;1,X42&lt;Inputs!$C$59*X44),X$4,999)</f>
        <v>999</v>
      </c>
      <c r="Y67" s="36">
        <f>IF(AND(Y44&gt;1,Y42&lt;Inputs!$C$59*Y44),Y$4,999)</f>
        <v>999</v>
      </c>
      <c r="Z67" s="36">
        <f>IF(AND(Z44&gt;1,Z42&lt;Inputs!$C$59*Z44),Z$4,999)</f>
        <v>999</v>
      </c>
      <c r="AA67" s="36">
        <f>IF(AND(AA44&gt;1,AA42&lt;Inputs!$C$59*AA44),AA$4,999)</f>
        <v>999</v>
      </c>
      <c r="AB67" s="36">
        <f>IF(AND(AB44&gt;1,AB42&lt;Inputs!$C$59*AB44),AB$4,999)</f>
        <v>999</v>
      </c>
    </row>
    <row r="68" spans="1:28" x14ac:dyDescent="0.25">
      <c r="A68" s="4" t="s">
        <v>390</v>
      </c>
      <c r="B68" s="2" t="s">
        <v>277</v>
      </c>
      <c r="D68" s="36">
        <f t="shared" ref="D68:AB68" si="27">IF(D54&gt;0.5,D$4,999)</f>
        <v>999</v>
      </c>
      <c r="E68" s="36">
        <f t="shared" si="27"/>
        <v>999</v>
      </c>
      <c r="F68" s="36">
        <f t="shared" si="27"/>
        <v>999</v>
      </c>
      <c r="G68" s="36">
        <f t="shared" si="27"/>
        <v>999</v>
      </c>
      <c r="H68" s="36">
        <f t="shared" si="27"/>
        <v>999</v>
      </c>
      <c r="I68" s="36">
        <f t="shared" si="27"/>
        <v>999</v>
      </c>
      <c r="J68" s="36">
        <f t="shared" si="27"/>
        <v>999</v>
      </c>
      <c r="K68" s="36">
        <f t="shared" si="27"/>
        <v>999</v>
      </c>
      <c r="L68" s="36">
        <f t="shared" si="27"/>
        <v>999</v>
      </c>
      <c r="M68" s="36">
        <f t="shared" si="27"/>
        <v>999</v>
      </c>
      <c r="N68" s="36">
        <f t="shared" si="27"/>
        <v>999</v>
      </c>
      <c r="O68" s="36">
        <f t="shared" si="27"/>
        <v>999</v>
      </c>
      <c r="P68" s="36">
        <f t="shared" si="27"/>
        <v>999</v>
      </c>
      <c r="Q68" s="36">
        <f t="shared" si="27"/>
        <v>999</v>
      </c>
      <c r="R68" s="36">
        <f t="shared" si="27"/>
        <v>999</v>
      </c>
      <c r="S68" s="36">
        <f t="shared" si="27"/>
        <v>999</v>
      </c>
      <c r="T68" s="36">
        <f t="shared" si="27"/>
        <v>999</v>
      </c>
      <c r="U68" s="36">
        <f t="shared" si="27"/>
        <v>999</v>
      </c>
      <c r="V68" s="36">
        <f t="shared" si="27"/>
        <v>999</v>
      </c>
      <c r="W68" s="36">
        <f t="shared" si="27"/>
        <v>999</v>
      </c>
      <c r="X68" s="36">
        <f t="shared" si="27"/>
        <v>999</v>
      </c>
      <c r="Y68" s="36">
        <f t="shared" si="27"/>
        <v>999</v>
      </c>
      <c r="Z68" s="36">
        <f t="shared" si="27"/>
        <v>999</v>
      </c>
      <c r="AA68" s="36">
        <f t="shared" si="27"/>
        <v>999</v>
      </c>
      <c r="AB68" s="36">
        <f t="shared" si="27"/>
        <v>999</v>
      </c>
    </row>
    <row r="69" spans="1:28" x14ac:dyDescent="0.25">
      <c r="A69" s="4" t="s">
        <v>391</v>
      </c>
      <c r="B69" s="2" t="s">
        <v>225</v>
      </c>
      <c r="C69" s="5">
        <f>-Inputs!$C$71*Inputs!$C$13</f>
        <v>-4800000</v>
      </c>
      <c r="D69" s="5">
        <f t="shared" ref="D69:AB69" si="28">D36</f>
        <v>250171.33114999998</v>
      </c>
      <c r="E69" s="5">
        <f t="shared" si="28"/>
        <v>247452.50742539996</v>
      </c>
      <c r="F69" s="5">
        <f t="shared" si="28"/>
        <v>244688.33318769839</v>
      </c>
      <c r="G69" s="5">
        <f t="shared" si="28"/>
        <v>241877.76932278759</v>
      </c>
      <c r="H69" s="5">
        <f t="shared" si="28"/>
        <v>239019.75646269321</v>
      </c>
      <c r="I69" s="5">
        <f t="shared" si="28"/>
        <v>236113.21457838319</v>
      </c>
      <c r="J69" s="5">
        <f t="shared" si="28"/>
        <v>233157.04256444119</v>
      </c>
      <c r="K69" s="5">
        <f t="shared" si="28"/>
        <v>230150.11781544244</v>
      </c>
      <c r="L69" s="5">
        <f t="shared" si="28"/>
        <v>227091.29579386485</v>
      </c>
      <c r="M69" s="5">
        <f t="shared" si="28"/>
        <v>223095.03426949593</v>
      </c>
      <c r="N69" s="5">
        <f t="shared" si="28"/>
        <v>218559.92311737975</v>
      </c>
      <c r="O69" s="5">
        <f t="shared" si="28"/>
        <v>213951.95378957118</v>
      </c>
      <c r="P69" s="5">
        <f t="shared" si="28"/>
        <v>209269.50174636714</v>
      </c>
      <c r="Q69" s="5">
        <f t="shared" si="28"/>
        <v>204510.91062677509</v>
      </c>
      <c r="R69" s="5">
        <f t="shared" si="28"/>
        <v>199674.49160940913</v>
      </c>
      <c r="S69" s="5">
        <f t="shared" si="28"/>
        <v>31080.502224963449</v>
      </c>
      <c r="T69" s="5">
        <f t="shared" si="28"/>
        <v>27383.956718456087</v>
      </c>
      <c r="U69" s="5">
        <f t="shared" si="28"/>
        <v>23612.032924022555</v>
      </c>
      <c r="V69" s="5">
        <f t="shared" si="28"/>
        <v>19763.133065415634</v>
      </c>
      <c r="W69" s="5">
        <f t="shared" si="28"/>
        <v>15835.627771704865</v>
      </c>
      <c r="X69" s="5">
        <f t="shared" si="28"/>
        <v>8469.5463494714804</v>
      </c>
      <c r="Y69" s="5">
        <f t="shared" si="28"/>
        <v>4442.4719810478637</v>
      </c>
      <c r="Z69" s="5">
        <f t="shared" si="28"/>
        <v>351.68478643744345</v>
      </c>
      <c r="AA69" s="5">
        <f t="shared" si="28"/>
        <v>-4829.1768100989284</v>
      </c>
      <c r="AB69" s="5">
        <f t="shared" si="28"/>
        <v>-10375.300706925773</v>
      </c>
    </row>
    <row r="70" spans="1:28" x14ac:dyDescent="0.25">
      <c r="A70" s="31" t="s">
        <v>392</v>
      </c>
    </row>
    <row r="71" spans="1:28" x14ac:dyDescent="0.25">
      <c r="A71" s="4" t="s">
        <v>393</v>
      </c>
      <c r="B71" s="2" t="s">
        <v>225</v>
      </c>
      <c r="D71" s="5">
        <f>D64*(1-Inputs!$C$41)</f>
        <v>0</v>
      </c>
      <c r="E71" s="5">
        <f>E64*(1-Inputs!$C$41)</f>
        <v>0</v>
      </c>
      <c r="F71" s="5">
        <f>F64*(1-Inputs!$C$41)</f>
        <v>0</v>
      </c>
      <c r="G71" s="5">
        <f>G64*(1-Inputs!$C$41)</f>
        <v>0</v>
      </c>
      <c r="H71" s="5">
        <f>H64*(1-Inputs!$C$41)</f>
        <v>0</v>
      </c>
      <c r="I71" s="5">
        <f>I64*(1-Inputs!$C$41)</f>
        <v>0</v>
      </c>
      <c r="J71" s="5">
        <f>J64*(1-Inputs!$C$41)</f>
        <v>0</v>
      </c>
      <c r="K71" s="5">
        <f>K64*(1-Inputs!$C$41)</f>
        <v>0</v>
      </c>
      <c r="L71" s="5">
        <f>L64*(1-Inputs!$C$41)</f>
        <v>0</v>
      </c>
      <c r="M71" s="5">
        <f>M64*(1-Inputs!$C$41)</f>
        <v>0</v>
      </c>
      <c r="N71" s="5">
        <f>N64*(1-Inputs!$C$41)</f>
        <v>0</v>
      </c>
      <c r="O71" s="5">
        <f>O64*(1-Inputs!$C$41)</f>
        <v>0</v>
      </c>
      <c r="P71" s="5">
        <f>P64*(1-Inputs!$C$41)</f>
        <v>0</v>
      </c>
      <c r="Q71" s="5">
        <f>Q64*(1-Inputs!$C$41)</f>
        <v>0</v>
      </c>
      <c r="R71" s="5">
        <f>R64*(1-Inputs!$C$41)</f>
        <v>0</v>
      </c>
      <c r="S71" s="5">
        <f>S64*(1-Inputs!$C$41)</f>
        <v>0</v>
      </c>
      <c r="T71" s="5">
        <f>T64*(1-Inputs!$C$41)</f>
        <v>0</v>
      </c>
      <c r="U71" s="5">
        <f>U64*(1-Inputs!$C$41)</f>
        <v>0</v>
      </c>
      <c r="V71" s="5">
        <f>V64*(1-Inputs!$C$41)</f>
        <v>0</v>
      </c>
      <c r="W71" s="5">
        <f>W64*(1-Inputs!$C$41)</f>
        <v>0</v>
      </c>
      <c r="X71" s="5">
        <f>X64*(1-Inputs!$C$41)</f>
        <v>0</v>
      </c>
      <c r="Y71" s="5">
        <f>Y64*(1-Inputs!$C$41)</f>
        <v>0</v>
      </c>
      <c r="Z71" s="5">
        <f>Z64*(1-Inputs!$C$41)</f>
        <v>0</v>
      </c>
      <c r="AA71" s="5">
        <f>AA64*(1-Inputs!$C$41)</f>
        <v>0</v>
      </c>
      <c r="AB71" s="5">
        <f>AB64*(1-Inputs!$C$41)</f>
        <v>0</v>
      </c>
    </row>
    <row r="72" spans="1:28" x14ac:dyDescent="0.25">
      <c r="A72" s="4" t="s">
        <v>394</v>
      </c>
      <c r="B72" s="2" t="s">
        <v>225</v>
      </c>
      <c r="C72" s="5">
        <f>C63</f>
        <v>-3106352.7829650622</v>
      </c>
      <c r="D72" s="5">
        <f t="shared" ref="D72:AB72" si="29">D63+D71</f>
        <v>57648.170155049709</v>
      </c>
      <c r="E72" s="5">
        <f t="shared" si="29"/>
        <v>53287.100325399078</v>
      </c>
      <c r="F72" s="5">
        <f t="shared" si="29"/>
        <v>48839.581354821217</v>
      </c>
      <c r="G72" s="5">
        <f t="shared" si="29"/>
        <v>44302.501167563663</v>
      </c>
      <c r="H72" s="5">
        <f t="shared" si="29"/>
        <v>39672.607518476812</v>
      </c>
      <c r="I72" s="5">
        <f t="shared" si="29"/>
        <v>34946.500076420343</v>
      </c>
      <c r="J72" s="5">
        <f t="shared" si="29"/>
        <v>30120.622017171874</v>
      </c>
      <c r="K72" s="5">
        <f t="shared" si="29"/>
        <v>25191.251094435371</v>
      </c>
      <c r="L72" s="5">
        <f t="shared" si="29"/>
        <v>0</v>
      </c>
      <c r="M72" s="5">
        <f t="shared" si="29"/>
        <v>0</v>
      </c>
      <c r="N72" s="5">
        <f t="shared" si="29"/>
        <v>0</v>
      </c>
      <c r="O72" s="5">
        <f t="shared" si="29"/>
        <v>0</v>
      </c>
      <c r="P72" s="5">
        <f t="shared" si="29"/>
        <v>0</v>
      </c>
      <c r="Q72" s="5">
        <f t="shared" si="29"/>
        <v>0</v>
      </c>
      <c r="R72" s="5">
        <f t="shared" si="29"/>
        <v>0</v>
      </c>
      <c r="S72" s="5">
        <f t="shared" si="29"/>
        <v>164337.72345333153</v>
      </c>
      <c r="T72" s="5">
        <f t="shared" si="29"/>
        <v>27383.956718456087</v>
      </c>
      <c r="U72" s="5">
        <f t="shared" si="29"/>
        <v>23612.032924022555</v>
      </c>
      <c r="V72" s="5">
        <f t="shared" si="29"/>
        <v>19763.133065415634</v>
      </c>
      <c r="W72" s="5">
        <f t="shared" si="29"/>
        <v>15835.627771704865</v>
      </c>
      <c r="X72" s="5">
        <f t="shared" si="29"/>
        <v>8469.5463494714804</v>
      </c>
      <c r="Y72" s="5">
        <f t="shared" si="29"/>
        <v>4442.4719810478637</v>
      </c>
      <c r="Z72" s="5">
        <f t="shared" si="29"/>
        <v>351.68478643744345</v>
      </c>
      <c r="AA72" s="5">
        <f t="shared" si="29"/>
        <v>-4829.1768100989284</v>
      </c>
      <c r="AB72" s="5">
        <f t="shared" si="29"/>
        <v>-10375.300706925773</v>
      </c>
    </row>
    <row r="73" spans="1:28" x14ac:dyDescent="0.25">
      <c r="A73" s="4" t="s">
        <v>395</v>
      </c>
      <c r="B73" s="2" t="s">
        <v>225</v>
      </c>
      <c r="C73" s="5">
        <f>C69</f>
        <v>-4800000</v>
      </c>
      <c r="D73" s="5">
        <f t="shared" ref="D73:AB73" si="30">D69+D71</f>
        <v>250171.33114999998</v>
      </c>
      <c r="E73" s="5">
        <f t="shared" si="30"/>
        <v>247452.50742539996</v>
      </c>
      <c r="F73" s="5">
        <f t="shared" si="30"/>
        <v>244688.33318769839</v>
      </c>
      <c r="G73" s="5">
        <f t="shared" si="30"/>
        <v>241877.76932278759</v>
      </c>
      <c r="H73" s="5">
        <f t="shared" si="30"/>
        <v>239019.75646269321</v>
      </c>
      <c r="I73" s="5">
        <f t="shared" si="30"/>
        <v>236113.21457838319</v>
      </c>
      <c r="J73" s="5">
        <f t="shared" si="30"/>
        <v>233157.04256444119</v>
      </c>
      <c r="K73" s="5">
        <f t="shared" si="30"/>
        <v>230150.11781544244</v>
      </c>
      <c r="L73" s="5">
        <f t="shared" si="30"/>
        <v>227091.29579386485</v>
      </c>
      <c r="M73" s="5">
        <f t="shared" si="30"/>
        <v>223095.03426949593</v>
      </c>
      <c r="N73" s="5">
        <f t="shared" si="30"/>
        <v>218559.92311737975</v>
      </c>
      <c r="O73" s="5">
        <f t="shared" si="30"/>
        <v>213951.95378957118</v>
      </c>
      <c r="P73" s="5">
        <f t="shared" si="30"/>
        <v>209269.50174636714</v>
      </c>
      <c r="Q73" s="5">
        <f t="shared" si="30"/>
        <v>204510.91062677509</v>
      </c>
      <c r="R73" s="5">
        <f t="shared" si="30"/>
        <v>199674.49160940913</v>
      </c>
      <c r="S73" s="5">
        <f t="shared" si="30"/>
        <v>31080.502224963449</v>
      </c>
      <c r="T73" s="5">
        <f t="shared" si="30"/>
        <v>27383.956718456087</v>
      </c>
      <c r="U73" s="5">
        <f t="shared" si="30"/>
        <v>23612.032924022555</v>
      </c>
      <c r="V73" s="5">
        <f t="shared" si="30"/>
        <v>19763.133065415634</v>
      </c>
      <c r="W73" s="5">
        <f t="shared" si="30"/>
        <v>15835.627771704865</v>
      </c>
      <c r="X73" s="5">
        <f t="shared" si="30"/>
        <v>8469.5463494714804</v>
      </c>
      <c r="Y73" s="5">
        <f t="shared" si="30"/>
        <v>4442.4719810478637</v>
      </c>
      <c r="Z73" s="5">
        <f t="shared" si="30"/>
        <v>351.68478643744345</v>
      </c>
      <c r="AA73" s="5">
        <f t="shared" si="30"/>
        <v>-4829.1768100989284</v>
      </c>
      <c r="AB73" s="5">
        <f t="shared" si="30"/>
        <v>-10375.300706925773</v>
      </c>
    </row>
    <row r="74" spans="1:28" x14ac:dyDescent="0.25">
      <c r="A74" s="4" t="s">
        <v>396</v>
      </c>
      <c r="B74" s="2" t="s">
        <v>225</v>
      </c>
      <c r="C74" s="5">
        <f>C73</f>
        <v>-4800000</v>
      </c>
      <c r="D74" s="5">
        <f t="shared" ref="D74:AB74" si="31">C74+D73</f>
        <v>-4549828.66885</v>
      </c>
      <c r="E74" s="5">
        <f t="shared" si="31"/>
        <v>-4302376.1614245996</v>
      </c>
      <c r="F74" s="5">
        <f t="shared" si="31"/>
        <v>-4057687.8282369012</v>
      </c>
      <c r="G74" s="5">
        <f t="shared" si="31"/>
        <v>-3815810.0589141138</v>
      </c>
      <c r="H74" s="5">
        <f t="shared" si="31"/>
        <v>-3576790.3024514206</v>
      </c>
      <c r="I74" s="5">
        <f t="shared" si="31"/>
        <v>-3340677.0878730374</v>
      </c>
      <c r="J74" s="5">
        <f t="shared" si="31"/>
        <v>-3107520.0453085965</v>
      </c>
      <c r="K74" s="5">
        <f t="shared" si="31"/>
        <v>-2877369.9274931541</v>
      </c>
      <c r="L74" s="5">
        <f t="shared" si="31"/>
        <v>-2650278.6316992892</v>
      </c>
      <c r="M74" s="5">
        <f t="shared" si="31"/>
        <v>-2427183.5974297933</v>
      </c>
      <c r="N74" s="5">
        <f t="shared" si="31"/>
        <v>-2208623.6743124137</v>
      </c>
      <c r="O74" s="5">
        <f t="shared" si="31"/>
        <v>-1994671.7205228424</v>
      </c>
      <c r="P74" s="5">
        <f t="shared" si="31"/>
        <v>-1785402.2187764752</v>
      </c>
      <c r="Q74" s="5">
        <f t="shared" si="31"/>
        <v>-1580891.3081497001</v>
      </c>
      <c r="R74" s="5">
        <f t="shared" si="31"/>
        <v>-1381216.8165402908</v>
      </c>
      <c r="S74" s="5">
        <f t="shared" si="31"/>
        <v>-1350136.3143153274</v>
      </c>
      <c r="T74" s="5">
        <f t="shared" si="31"/>
        <v>-1322752.3575968714</v>
      </c>
      <c r="U74" s="5">
        <f t="shared" si="31"/>
        <v>-1299140.3246728489</v>
      </c>
      <c r="V74" s="5">
        <f t="shared" si="31"/>
        <v>-1279377.1916074334</v>
      </c>
      <c r="W74" s="5">
        <f t="shared" si="31"/>
        <v>-1263541.5638357284</v>
      </c>
      <c r="X74" s="5">
        <f t="shared" si="31"/>
        <v>-1255072.017486257</v>
      </c>
      <c r="Y74" s="5">
        <f t="shared" si="31"/>
        <v>-1250629.5455052091</v>
      </c>
      <c r="Z74" s="5">
        <f t="shared" si="31"/>
        <v>-1250277.8607187716</v>
      </c>
      <c r="AA74" s="5">
        <f t="shared" si="31"/>
        <v>-1255107.0375288706</v>
      </c>
      <c r="AB74" s="5">
        <f t="shared" si="31"/>
        <v>-1265482.3382357964</v>
      </c>
    </row>
    <row r="75" spans="1:28" x14ac:dyDescent="0.25">
      <c r="A75" s="4" t="s">
        <v>397</v>
      </c>
      <c r="B75" s="2" t="s">
        <v>277</v>
      </c>
      <c r="D75" s="36">
        <f t="shared" ref="D75:AB75" si="32">IF(AND(D74&gt;=0,C74&lt;0),D$4,999)</f>
        <v>999</v>
      </c>
      <c r="E75" s="36">
        <f t="shared" si="32"/>
        <v>999</v>
      </c>
      <c r="F75" s="36">
        <f t="shared" si="32"/>
        <v>999</v>
      </c>
      <c r="G75" s="36">
        <f t="shared" si="32"/>
        <v>999</v>
      </c>
      <c r="H75" s="36">
        <f t="shared" si="32"/>
        <v>999</v>
      </c>
      <c r="I75" s="36">
        <f t="shared" si="32"/>
        <v>999</v>
      </c>
      <c r="J75" s="36">
        <f t="shared" si="32"/>
        <v>999</v>
      </c>
      <c r="K75" s="36">
        <f t="shared" si="32"/>
        <v>999</v>
      </c>
      <c r="L75" s="36">
        <f t="shared" si="32"/>
        <v>999</v>
      </c>
      <c r="M75" s="36">
        <f t="shared" si="32"/>
        <v>999</v>
      </c>
      <c r="N75" s="36">
        <f t="shared" si="32"/>
        <v>999</v>
      </c>
      <c r="O75" s="36">
        <f t="shared" si="32"/>
        <v>999</v>
      </c>
      <c r="P75" s="36">
        <f t="shared" si="32"/>
        <v>999</v>
      </c>
      <c r="Q75" s="36">
        <f t="shared" si="32"/>
        <v>999</v>
      </c>
      <c r="R75" s="36">
        <f t="shared" si="32"/>
        <v>999</v>
      </c>
      <c r="S75" s="36">
        <f t="shared" si="32"/>
        <v>999</v>
      </c>
      <c r="T75" s="36">
        <f t="shared" si="32"/>
        <v>999</v>
      </c>
      <c r="U75" s="36">
        <f t="shared" si="32"/>
        <v>999</v>
      </c>
      <c r="V75" s="36">
        <f t="shared" si="32"/>
        <v>999</v>
      </c>
      <c r="W75" s="36">
        <f t="shared" si="32"/>
        <v>999</v>
      </c>
      <c r="X75" s="36">
        <f t="shared" si="32"/>
        <v>999</v>
      </c>
      <c r="Y75" s="36">
        <f t="shared" si="32"/>
        <v>999</v>
      </c>
      <c r="Z75" s="36">
        <f t="shared" si="32"/>
        <v>999</v>
      </c>
      <c r="AA75" s="36">
        <f t="shared" si="32"/>
        <v>999</v>
      </c>
      <c r="AB75" s="36">
        <f t="shared" si="32"/>
        <v>999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75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46" customWidth="1"/>
    <col min="2" max="2" width="11" customWidth="1"/>
    <col min="3" max="28" width="10.42578125" customWidth="1"/>
  </cols>
  <sheetData>
    <row r="1" spans="1:28" ht="16.5" x14ac:dyDescent="0.25">
      <c r="A1" s="1" t="s">
        <v>399</v>
      </c>
    </row>
    <row r="2" spans="1:28" x14ac:dyDescent="0.25">
      <c r="A2" s="2" t="s">
        <v>330</v>
      </c>
    </row>
    <row r="4" spans="1:28" x14ac:dyDescent="0.25">
      <c r="A4" s="3" t="s">
        <v>310</v>
      </c>
      <c r="C4" s="29">
        <v>0</v>
      </c>
      <c r="D4" s="29">
        <v>1</v>
      </c>
      <c r="E4" s="29">
        <v>2</v>
      </c>
      <c r="F4" s="29">
        <v>3</v>
      </c>
      <c r="G4" s="29">
        <v>4</v>
      </c>
      <c r="H4" s="29">
        <v>5</v>
      </c>
      <c r="I4" s="29">
        <v>6</v>
      </c>
      <c r="J4" s="29">
        <v>7</v>
      </c>
      <c r="K4" s="29">
        <v>8</v>
      </c>
      <c r="L4" s="29">
        <v>9</v>
      </c>
      <c r="M4" s="29">
        <v>10</v>
      </c>
      <c r="N4" s="29">
        <v>11</v>
      </c>
      <c r="O4" s="29">
        <v>12</v>
      </c>
      <c r="P4" s="29">
        <v>13</v>
      </c>
      <c r="Q4" s="29">
        <v>14</v>
      </c>
      <c r="R4" s="29">
        <v>15</v>
      </c>
      <c r="S4" s="29">
        <v>16</v>
      </c>
      <c r="T4" s="29">
        <v>17</v>
      </c>
      <c r="U4" s="29">
        <v>18</v>
      </c>
      <c r="V4" s="29">
        <v>19</v>
      </c>
      <c r="W4" s="29">
        <v>20</v>
      </c>
      <c r="X4" s="29">
        <v>21</v>
      </c>
      <c r="Y4" s="29">
        <v>22</v>
      </c>
      <c r="Z4" s="29">
        <v>23</v>
      </c>
      <c r="AA4" s="29">
        <v>24</v>
      </c>
      <c r="AB4" s="29">
        <v>25</v>
      </c>
    </row>
    <row r="5" spans="1:28" x14ac:dyDescent="0.25">
      <c r="A5" s="31" t="s">
        <v>331</v>
      </c>
    </row>
    <row r="6" spans="1:28" x14ac:dyDescent="0.25">
      <c r="A6" s="4" t="s">
        <v>332</v>
      </c>
      <c r="B6" s="2" t="s">
        <v>313</v>
      </c>
      <c r="D6" s="7">
        <f>IF(AND(D$4&gt;=1,D$4&lt;=Inputs!$C$12),1,0)</f>
        <v>1</v>
      </c>
      <c r="E6" s="7">
        <f>IF(AND(E$4&gt;=1,E$4&lt;=Inputs!$C$12),1,0)</f>
        <v>1</v>
      </c>
      <c r="F6" s="7">
        <f>IF(AND(F$4&gt;=1,F$4&lt;=Inputs!$C$12),1,0)</f>
        <v>1</v>
      </c>
      <c r="G6" s="7">
        <f>IF(AND(G$4&gt;=1,G$4&lt;=Inputs!$C$12),1,0)</f>
        <v>1</v>
      </c>
      <c r="H6" s="7">
        <f>IF(AND(H$4&gt;=1,H$4&lt;=Inputs!$C$12),1,0)</f>
        <v>1</v>
      </c>
      <c r="I6" s="7">
        <f>IF(AND(I$4&gt;=1,I$4&lt;=Inputs!$C$12),1,0)</f>
        <v>1</v>
      </c>
      <c r="J6" s="7">
        <f>IF(AND(J$4&gt;=1,J$4&lt;=Inputs!$C$12),1,0)</f>
        <v>1</v>
      </c>
      <c r="K6" s="7">
        <f>IF(AND(K$4&gt;=1,K$4&lt;=Inputs!$C$12),1,0)</f>
        <v>1</v>
      </c>
      <c r="L6" s="7">
        <f>IF(AND(L$4&gt;=1,L$4&lt;=Inputs!$C$12),1,0)</f>
        <v>1</v>
      </c>
      <c r="M6" s="7">
        <f>IF(AND(M$4&gt;=1,M$4&lt;=Inputs!$C$12),1,0)</f>
        <v>1</v>
      </c>
      <c r="N6" s="7">
        <f>IF(AND(N$4&gt;=1,N$4&lt;=Inputs!$C$12),1,0)</f>
        <v>1</v>
      </c>
      <c r="O6" s="7">
        <f>IF(AND(O$4&gt;=1,O$4&lt;=Inputs!$C$12),1,0)</f>
        <v>1</v>
      </c>
      <c r="P6" s="7">
        <f>IF(AND(P$4&gt;=1,P$4&lt;=Inputs!$C$12),1,0)</f>
        <v>1</v>
      </c>
      <c r="Q6" s="7">
        <f>IF(AND(Q$4&gt;=1,Q$4&lt;=Inputs!$C$12),1,0)</f>
        <v>1</v>
      </c>
      <c r="R6" s="7">
        <f>IF(AND(R$4&gt;=1,R$4&lt;=Inputs!$C$12),1,0)</f>
        <v>1</v>
      </c>
      <c r="S6" s="7">
        <f>IF(AND(S$4&gt;=1,S$4&lt;=Inputs!$C$12),1,0)</f>
        <v>1</v>
      </c>
      <c r="T6" s="7">
        <f>IF(AND(T$4&gt;=1,T$4&lt;=Inputs!$C$12),1,0)</f>
        <v>1</v>
      </c>
      <c r="U6" s="7">
        <f>IF(AND(U$4&gt;=1,U$4&lt;=Inputs!$C$12),1,0)</f>
        <v>1</v>
      </c>
      <c r="V6" s="7">
        <f>IF(AND(V$4&gt;=1,V$4&lt;=Inputs!$C$12),1,0)</f>
        <v>1</v>
      </c>
      <c r="W6" s="7">
        <f>IF(AND(W$4&gt;=1,W$4&lt;=Inputs!$C$12),1,0)</f>
        <v>1</v>
      </c>
      <c r="X6" s="7">
        <f>IF(AND(X$4&gt;=1,X$4&lt;=Inputs!$C$12),1,0)</f>
        <v>1</v>
      </c>
      <c r="Y6" s="7">
        <f>IF(AND(Y$4&gt;=1,Y$4&lt;=Inputs!$C$12),1,0)</f>
        <v>1</v>
      </c>
      <c r="Z6" s="7">
        <f>IF(AND(Z$4&gt;=1,Z$4&lt;=Inputs!$C$12),1,0)</f>
        <v>1</v>
      </c>
      <c r="AA6" s="7">
        <f>IF(AND(AA$4&gt;=1,AA$4&lt;=Inputs!$C$12),1,0)</f>
        <v>1</v>
      </c>
      <c r="AB6" s="7">
        <f>IF(AND(AB$4&gt;=1,AB$4&lt;=Inputs!$C$12),1,0)</f>
        <v>1</v>
      </c>
    </row>
    <row r="7" spans="1:28" x14ac:dyDescent="0.25">
      <c r="A7" s="4" t="s">
        <v>331</v>
      </c>
      <c r="B7" s="2" t="s">
        <v>333</v>
      </c>
      <c r="D7" s="5">
        <f>D6*Inputs!$C$71*Inputs!$C$8*Inputs!$C$66*Inputs!$C$10*(1-Inputs!$C$11)^(D$4-1)/1000</f>
        <v>5940</v>
      </c>
      <c r="E7" s="5">
        <f>E6*Inputs!$C$71*Inputs!$C$8*Inputs!$C$66*Inputs!$C$10*(1-Inputs!$C$11)^(E$4-1)/1000</f>
        <v>5916.24</v>
      </c>
      <c r="F7" s="5">
        <f>F6*Inputs!$C$71*Inputs!$C$8*Inputs!$C$66*Inputs!$C$10*(1-Inputs!$C$11)^(F$4-1)/1000</f>
        <v>5892.5750399999997</v>
      </c>
      <c r="G7" s="5">
        <f>G6*Inputs!$C$71*Inputs!$C$8*Inputs!$C$66*Inputs!$C$10*(1-Inputs!$C$11)^(G$4-1)/1000</f>
        <v>5869.0047398400002</v>
      </c>
      <c r="H7" s="5">
        <f>H6*Inputs!$C$71*Inputs!$C$8*Inputs!$C$66*Inputs!$C$10*(1-Inputs!$C$11)^(H$4-1)/1000</f>
        <v>5845.5287208806394</v>
      </c>
      <c r="I7" s="5">
        <f>I6*Inputs!$C$71*Inputs!$C$8*Inputs!$C$66*Inputs!$C$10*(1-Inputs!$C$11)^(I$4-1)/1000</f>
        <v>5822.1466059971171</v>
      </c>
      <c r="J7" s="5">
        <f>J6*Inputs!$C$71*Inputs!$C$8*Inputs!$C$66*Inputs!$C$10*(1-Inputs!$C$11)^(J$4-1)/1000</f>
        <v>5798.8580195731283</v>
      </c>
      <c r="K7" s="5">
        <f>K6*Inputs!$C$71*Inputs!$C$8*Inputs!$C$66*Inputs!$C$10*(1-Inputs!$C$11)^(K$4-1)/1000</f>
        <v>5775.6625874948359</v>
      </c>
      <c r="L7" s="5">
        <f>L6*Inputs!$C$71*Inputs!$C$8*Inputs!$C$66*Inputs!$C$10*(1-Inputs!$C$11)^(L$4-1)/1000</f>
        <v>5752.559937144857</v>
      </c>
      <c r="M7" s="5">
        <f>M6*Inputs!$C$71*Inputs!$C$8*Inputs!$C$66*Inputs!$C$10*(1-Inputs!$C$11)^(M$4-1)/1000</f>
        <v>5729.5496973962781</v>
      </c>
      <c r="N7" s="5">
        <f>N6*Inputs!$C$71*Inputs!$C$8*Inputs!$C$66*Inputs!$C$10*(1-Inputs!$C$11)^(N$4-1)/1000</f>
        <v>5706.6314986066927</v>
      </c>
      <c r="O7" s="5">
        <f>O6*Inputs!$C$71*Inputs!$C$8*Inputs!$C$66*Inputs!$C$10*(1-Inputs!$C$11)^(O$4-1)/1000</f>
        <v>5683.8049726122654</v>
      </c>
      <c r="P7" s="5">
        <f>P6*Inputs!$C$71*Inputs!$C$8*Inputs!$C$66*Inputs!$C$10*(1-Inputs!$C$11)^(P$4-1)/1000</f>
        <v>5661.0697527218163</v>
      </c>
      <c r="Q7" s="5">
        <f>Q6*Inputs!$C$71*Inputs!$C$8*Inputs!$C$66*Inputs!$C$10*(1-Inputs!$C$11)^(Q$4-1)/1000</f>
        <v>5638.4254737109304</v>
      </c>
      <c r="R7" s="5">
        <f>R6*Inputs!$C$71*Inputs!$C$8*Inputs!$C$66*Inputs!$C$10*(1-Inputs!$C$11)^(R$4-1)/1000</f>
        <v>5615.871771816086</v>
      </c>
      <c r="S7" s="5">
        <f>S6*Inputs!$C$71*Inputs!$C$8*Inputs!$C$66*Inputs!$C$10*(1-Inputs!$C$11)^(S$4-1)/1000</f>
        <v>5593.4082847288209</v>
      </c>
      <c r="T7" s="5">
        <f>T6*Inputs!$C$71*Inputs!$C$8*Inputs!$C$66*Inputs!$C$10*(1-Inputs!$C$11)^(T$4-1)/1000</f>
        <v>5571.0346515899064</v>
      </c>
      <c r="U7" s="5">
        <f>U6*Inputs!$C$71*Inputs!$C$8*Inputs!$C$66*Inputs!$C$10*(1-Inputs!$C$11)^(U$4-1)/1000</f>
        <v>5548.7505129835463</v>
      </c>
      <c r="V7" s="5">
        <f>V6*Inputs!$C$71*Inputs!$C$8*Inputs!$C$66*Inputs!$C$10*(1-Inputs!$C$11)^(V$4-1)/1000</f>
        <v>5526.5555109316128</v>
      </c>
      <c r="W7" s="5">
        <f>W6*Inputs!$C$71*Inputs!$C$8*Inputs!$C$66*Inputs!$C$10*(1-Inputs!$C$11)^(W$4-1)/1000</f>
        <v>5504.4492888878858</v>
      </c>
      <c r="X7" s="5">
        <f>X6*Inputs!$C$71*Inputs!$C$8*Inputs!$C$66*Inputs!$C$10*(1-Inputs!$C$11)^(X$4-1)/1000</f>
        <v>5482.4314917323345</v>
      </c>
      <c r="Y7" s="5">
        <f>Y6*Inputs!$C$71*Inputs!$C$8*Inputs!$C$66*Inputs!$C$10*(1-Inputs!$C$11)^(Y$4-1)/1000</f>
        <v>5460.5017657654053</v>
      </c>
      <c r="Z7" s="5">
        <f>Z6*Inputs!$C$71*Inputs!$C$8*Inputs!$C$66*Inputs!$C$10*(1-Inputs!$C$11)^(Z$4-1)/1000</f>
        <v>5438.6597587023443</v>
      </c>
      <c r="AA7" s="5">
        <f>AA6*Inputs!$C$71*Inputs!$C$8*Inputs!$C$66*Inputs!$C$10*(1-Inputs!$C$11)^(AA$4-1)/1000</f>
        <v>5416.9051196675346</v>
      </c>
      <c r="AB7" s="5">
        <f>AB6*Inputs!$C$71*Inputs!$C$8*Inputs!$C$66*Inputs!$C$10*(1-Inputs!$C$11)^(AB$4-1)/1000</f>
        <v>5395.2374991888637</v>
      </c>
    </row>
    <row r="8" spans="1:28" x14ac:dyDescent="0.25">
      <c r="A8" s="4" t="s">
        <v>334</v>
      </c>
      <c r="B8" s="2" t="s">
        <v>335</v>
      </c>
      <c r="D8" s="32">
        <f>D6*(IF(D$4&lt;=Inputs!$C$20,1,0)*IF(D$4&lt;Inputs!$C$65,1,1-Inputs!$C$64/Inputs!$C$7))</f>
        <v>1</v>
      </c>
      <c r="E8" s="32">
        <f>E6*(IF(E$4&lt;=Inputs!$C$20,1,0)*IF(E$4&lt;Inputs!$C$65,1,1-Inputs!$C$64/Inputs!$C$7))</f>
        <v>1</v>
      </c>
      <c r="F8" s="32">
        <f>F6*(IF(F$4&lt;=Inputs!$C$20,1,0)*IF(F$4&lt;Inputs!$C$65,1,1-Inputs!$C$64/Inputs!$C$7))</f>
        <v>1</v>
      </c>
      <c r="G8" s="32">
        <f>G6*(IF(G$4&lt;=Inputs!$C$20,1,0)*IF(G$4&lt;Inputs!$C$65,1,1-Inputs!$C$64/Inputs!$C$7))</f>
        <v>1</v>
      </c>
      <c r="H8" s="32">
        <f>H6*(IF(H$4&lt;=Inputs!$C$20,1,0)*IF(H$4&lt;Inputs!$C$65,1,1-Inputs!$C$64/Inputs!$C$7))</f>
        <v>0</v>
      </c>
      <c r="I8" s="32">
        <f>I6*(IF(I$4&lt;=Inputs!$C$20,1,0)*IF(I$4&lt;Inputs!$C$65,1,1-Inputs!$C$64/Inputs!$C$7))</f>
        <v>0</v>
      </c>
      <c r="J8" s="32">
        <f>J6*(IF(J$4&lt;=Inputs!$C$20,1,0)*IF(J$4&lt;Inputs!$C$65,1,1-Inputs!$C$64/Inputs!$C$7))</f>
        <v>0</v>
      </c>
      <c r="K8" s="32">
        <f>K6*(IF(K$4&lt;=Inputs!$C$20,1,0)*IF(K$4&lt;Inputs!$C$65,1,1-Inputs!$C$64/Inputs!$C$7))</f>
        <v>0</v>
      </c>
      <c r="L8" s="32">
        <f>L6*(IF(L$4&lt;=Inputs!$C$20,1,0)*IF(L$4&lt;Inputs!$C$65,1,1-Inputs!$C$64/Inputs!$C$7))</f>
        <v>0</v>
      </c>
      <c r="M8" s="32">
        <f>M6*(IF(M$4&lt;=Inputs!$C$20,1,0)*IF(M$4&lt;Inputs!$C$65,1,1-Inputs!$C$64/Inputs!$C$7))</f>
        <v>0</v>
      </c>
      <c r="N8" s="32">
        <f>N6*(IF(N$4&lt;=Inputs!$C$20,1,0)*IF(N$4&lt;Inputs!$C$65,1,1-Inputs!$C$64/Inputs!$C$7))</f>
        <v>0</v>
      </c>
      <c r="O8" s="32">
        <f>O6*(IF(O$4&lt;=Inputs!$C$20,1,0)*IF(O$4&lt;Inputs!$C$65,1,1-Inputs!$C$64/Inputs!$C$7))</f>
        <v>0</v>
      </c>
      <c r="P8" s="32">
        <f>P6*(IF(P$4&lt;=Inputs!$C$20,1,0)*IF(P$4&lt;Inputs!$C$65,1,1-Inputs!$C$64/Inputs!$C$7))</f>
        <v>0</v>
      </c>
      <c r="Q8" s="32">
        <f>Q6*(IF(Q$4&lt;=Inputs!$C$20,1,0)*IF(Q$4&lt;Inputs!$C$65,1,1-Inputs!$C$64/Inputs!$C$7))</f>
        <v>0</v>
      </c>
      <c r="R8" s="32">
        <f>R6*(IF(R$4&lt;=Inputs!$C$20,1,0)*IF(R$4&lt;Inputs!$C$65,1,1-Inputs!$C$64/Inputs!$C$7))</f>
        <v>0</v>
      </c>
      <c r="S8" s="32">
        <f>S6*(IF(S$4&lt;=Inputs!$C$20,1,0)*IF(S$4&lt;Inputs!$C$65,1,1-Inputs!$C$64/Inputs!$C$7))</f>
        <v>0</v>
      </c>
      <c r="T8" s="32">
        <f>T6*(IF(T$4&lt;=Inputs!$C$20,1,0)*IF(T$4&lt;Inputs!$C$65,1,1-Inputs!$C$64/Inputs!$C$7))</f>
        <v>0</v>
      </c>
      <c r="U8" s="32">
        <f>U6*(IF(U$4&lt;=Inputs!$C$20,1,0)*IF(U$4&lt;Inputs!$C$65,1,1-Inputs!$C$64/Inputs!$C$7))</f>
        <v>0</v>
      </c>
      <c r="V8" s="32">
        <f>V6*(IF(V$4&lt;=Inputs!$C$20,1,0)*IF(V$4&lt;Inputs!$C$65,1,1-Inputs!$C$64/Inputs!$C$7))</f>
        <v>0</v>
      </c>
      <c r="W8" s="32">
        <f>W6*(IF(W$4&lt;=Inputs!$C$20,1,0)*IF(W$4&lt;Inputs!$C$65,1,1-Inputs!$C$64/Inputs!$C$7))</f>
        <v>0</v>
      </c>
      <c r="X8" s="32">
        <f>X6*(IF(X$4&lt;=Inputs!$C$20,1,0)*IF(X$4&lt;Inputs!$C$65,1,1-Inputs!$C$64/Inputs!$C$7))</f>
        <v>0</v>
      </c>
      <c r="Y8" s="32">
        <f>Y6*(IF(Y$4&lt;=Inputs!$C$20,1,0)*IF(Y$4&lt;Inputs!$C$65,1,1-Inputs!$C$64/Inputs!$C$7))</f>
        <v>0</v>
      </c>
      <c r="Z8" s="32">
        <f>Z6*(IF(Z$4&lt;=Inputs!$C$20,1,0)*IF(Z$4&lt;Inputs!$C$65,1,1-Inputs!$C$64/Inputs!$C$7))</f>
        <v>0</v>
      </c>
      <c r="AA8" s="32">
        <f>AA6*(IF(AA$4&lt;=Inputs!$C$20,1,0)*IF(AA$4&lt;Inputs!$C$65,1,1-Inputs!$C$64/Inputs!$C$7))</f>
        <v>0</v>
      </c>
      <c r="AB8" s="32">
        <f>AB6*(IF(AB$4&lt;=Inputs!$C$20,1,0)*IF(AB$4&lt;Inputs!$C$65,1,1-Inputs!$C$64/Inputs!$C$7))</f>
        <v>0</v>
      </c>
    </row>
    <row r="9" spans="1:28" x14ac:dyDescent="0.25">
      <c r="A9" s="4" t="s">
        <v>336</v>
      </c>
      <c r="B9" s="2" t="s">
        <v>333</v>
      </c>
      <c r="D9" s="5">
        <f>D7*D8*Inputs!$C$15</f>
        <v>4158</v>
      </c>
      <c r="E9" s="5">
        <f>E7*E8*Inputs!$C$15</f>
        <v>4141.3679999999995</v>
      </c>
      <c r="F9" s="5">
        <f>F7*F8*Inputs!$C$15</f>
        <v>4124.8025279999993</v>
      </c>
      <c r="G9" s="5">
        <f>G7*G8*Inputs!$C$15</f>
        <v>4108.3033178879996</v>
      </c>
      <c r="H9" s="5">
        <f>H7*H8*Inputs!$C$15</f>
        <v>0</v>
      </c>
      <c r="I9" s="5">
        <f>I7*I8*Inputs!$C$15</f>
        <v>0</v>
      </c>
      <c r="J9" s="5">
        <f>J7*J8*Inputs!$C$15</f>
        <v>0</v>
      </c>
      <c r="K9" s="5">
        <f>K7*K8*Inputs!$C$15</f>
        <v>0</v>
      </c>
      <c r="L9" s="5">
        <f>L7*L8*Inputs!$C$15</f>
        <v>0</v>
      </c>
      <c r="M9" s="5">
        <f>M7*M8*Inputs!$C$15</f>
        <v>0</v>
      </c>
      <c r="N9" s="5">
        <f>N7*N8*Inputs!$C$15</f>
        <v>0</v>
      </c>
      <c r="O9" s="5">
        <f>O7*O8*Inputs!$C$15</f>
        <v>0</v>
      </c>
      <c r="P9" s="5">
        <f>P7*P8*Inputs!$C$15</f>
        <v>0</v>
      </c>
      <c r="Q9" s="5">
        <f>Q7*Q8*Inputs!$C$15</f>
        <v>0</v>
      </c>
      <c r="R9" s="5">
        <f>R7*R8*Inputs!$C$15</f>
        <v>0</v>
      </c>
      <c r="S9" s="5">
        <f>S7*S8*Inputs!$C$15</f>
        <v>0</v>
      </c>
      <c r="T9" s="5">
        <f>T7*T8*Inputs!$C$15</f>
        <v>0</v>
      </c>
      <c r="U9" s="5">
        <f>U7*U8*Inputs!$C$15</f>
        <v>0</v>
      </c>
      <c r="V9" s="5">
        <f>V7*V8*Inputs!$C$15</f>
        <v>0</v>
      </c>
      <c r="W9" s="5">
        <f>W7*W8*Inputs!$C$15</f>
        <v>0</v>
      </c>
      <c r="X9" s="5">
        <f>X7*X8*Inputs!$C$15</f>
        <v>0</v>
      </c>
      <c r="Y9" s="5">
        <f>Y7*Y8*Inputs!$C$15</f>
        <v>0</v>
      </c>
      <c r="Z9" s="5">
        <f>Z7*Z8*Inputs!$C$15</f>
        <v>0</v>
      </c>
      <c r="AA9" s="5">
        <f>AA7*AA8*Inputs!$C$15</f>
        <v>0</v>
      </c>
      <c r="AB9" s="5">
        <f>AB7*AB8*Inputs!$C$15</f>
        <v>0</v>
      </c>
    </row>
    <row r="10" spans="1:28" x14ac:dyDescent="0.25">
      <c r="A10" s="4" t="s">
        <v>337</v>
      </c>
      <c r="B10" s="2" t="s">
        <v>333</v>
      </c>
      <c r="D10" s="5">
        <f>D7*D8*(1-Inputs!$C$15)</f>
        <v>1782.0000000000002</v>
      </c>
      <c r="E10" s="5">
        <f>E7*E8*(1-Inputs!$C$15)</f>
        <v>1774.8720000000003</v>
      </c>
      <c r="F10" s="5">
        <f>F7*F8*(1-Inputs!$C$15)</f>
        <v>1767.7725120000002</v>
      </c>
      <c r="G10" s="5">
        <f>G7*G8*(1-Inputs!$C$15)</f>
        <v>1760.7014219520004</v>
      </c>
      <c r="H10" s="5">
        <f>H7*H8*(1-Inputs!$C$15)</f>
        <v>0</v>
      </c>
      <c r="I10" s="5">
        <f>I7*I8*(1-Inputs!$C$15)</f>
        <v>0</v>
      </c>
      <c r="J10" s="5">
        <f>J7*J8*(1-Inputs!$C$15)</f>
        <v>0</v>
      </c>
      <c r="K10" s="5">
        <f>K7*K8*(1-Inputs!$C$15)</f>
        <v>0</v>
      </c>
      <c r="L10" s="5">
        <f>L7*L8*(1-Inputs!$C$15)</f>
        <v>0</v>
      </c>
      <c r="M10" s="5">
        <f>M7*M8*(1-Inputs!$C$15)</f>
        <v>0</v>
      </c>
      <c r="N10" s="5">
        <f>N7*N8*(1-Inputs!$C$15)</f>
        <v>0</v>
      </c>
      <c r="O10" s="5">
        <f>O7*O8*(1-Inputs!$C$15)</f>
        <v>0</v>
      </c>
      <c r="P10" s="5">
        <f>P7*P8*(1-Inputs!$C$15)</f>
        <v>0</v>
      </c>
      <c r="Q10" s="5">
        <f>Q7*Q8*(1-Inputs!$C$15)</f>
        <v>0</v>
      </c>
      <c r="R10" s="5">
        <f>R7*R8*(1-Inputs!$C$15)</f>
        <v>0</v>
      </c>
      <c r="S10" s="5">
        <f>S7*S8*(1-Inputs!$C$15)</f>
        <v>0</v>
      </c>
      <c r="T10" s="5">
        <f>T7*T8*(1-Inputs!$C$15)</f>
        <v>0</v>
      </c>
      <c r="U10" s="5">
        <f>U7*U8*(1-Inputs!$C$15)</f>
        <v>0</v>
      </c>
      <c r="V10" s="5">
        <f>V7*V8*(1-Inputs!$C$15)</f>
        <v>0</v>
      </c>
      <c r="W10" s="5">
        <f>W7*W8*(1-Inputs!$C$15)</f>
        <v>0</v>
      </c>
      <c r="X10" s="5">
        <f>X7*X8*(1-Inputs!$C$15)</f>
        <v>0</v>
      </c>
      <c r="Y10" s="5">
        <f>Y7*Y8*(1-Inputs!$C$15)</f>
        <v>0</v>
      </c>
      <c r="Z10" s="5">
        <f>Z7*Z8*(1-Inputs!$C$15)</f>
        <v>0</v>
      </c>
      <c r="AA10" s="5">
        <f>AA7*AA8*(1-Inputs!$C$15)</f>
        <v>0</v>
      </c>
      <c r="AB10" s="5">
        <f>AB7*AB8*(1-Inputs!$C$15)</f>
        <v>0</v>
      </c>
    </row>
    <row r="11" spans="1:28" x14ac:dyDescent="0.25">
      <c r="A11" s="4" t="s">
        <v>338</v>
      </c>
      <c r="B11" s="2" t="s">
        <v>333</v>
      </c>
      <c r="D11" s="5">
        <f t="shared" ref="D11:AB11" si="0">D7*(1-D8)</f>
        <v>0</v>
      </c>
      <c r="E11" s="5">
        <f t="shared" si="0"/>
        <v>0</v>
      </c>
      <c r="F11" s="5">
        <f t="shared" si="0"/>
        <v>0</v>
      </c>
      <c r="G11" s="5">
        <f t="shared" si="0"/>
        <v>0</v>
      </c>
      <c r="H11" s="5">
        <f t="shared" si="0"/>
        <v>5845.5287208806394</v>
      </c>
      <c r="I11" s="5">
        <f t="shared" si="0"/>
        <v>5822.1466059971171</v>
      </c>
      <c r="J11" s="5">
        <f t="shared" si="0"/>
        <v>5798.8580195731283</v>
      </c>
      <c r="K11" s="5">
        <f t="shared" si="0"/>
        <v>5775.6625874948359</v>
      </c>
      <c r="L11" s="5">
        <f t="shared" si="0"/>
        <v>5752.559937144857</v>
      </c>
      <c r="M11" s="5">
        <f t="shared" si="0"/>
        <v>5729.5496973962781</v>
      </c>
      <c r="N11" s="5">
        <f t="shared" si="0"/>
        <v>5706.6314986066927</v>
      </c>
      <c r="O11" s="5">
        <f t="shared" si="0"/>
        <v>5683.8049726122654</v>
      </c>
      <c r="P11" s="5">
        <f t="shared" si="0"/>
        <v>5661.0697527218163</v>
      </c>
      <c r="Q11" s="5">
        <f t="shared" si="0"/>
        <v>5638.4254737109304</v>
      </c>
      <c r="R11" s="5">
        <f t="shared" si="0"/>
        <v>5615.871771816086</v>
      </c>
      <c r="S11" s="5">
        <f t="shared" si="0"/>
        <v>5593.4082847288209</v>
      </c>
      <c r="T11" s="5">
        <f t="shared" si="0"/>
        <v>5571.0346515899064</v>
      </c>
      <c r="U11" s="5">
        <f t="shared" si="0"/>
        <v>5548.7505129835463</v>
      </c>
      <c r="V11" s="5">
        <f t="shared" si="0"/>
        <v>5526.5555109316128</v>
      </c>
      <c r="W11" s="5">
        <f t="shared" si="0"/>
        <v>5504.4492888878858</v>
      </c>
      <c r="X11" s="5">
        <f t="shared" si="0"/>
        <v>5482.4314917323345</v>
      </c>
      <c r="Y11" s="5">
        <f t="shared" si="0"/>
        <v>5460.5017657654053</v>
      </c>
      <c r="Z11" s="5">
        <f t="shared" si="0"/>
        <v>5438.6597587023443</v>
      </c>
      <c r="AA11" s="5">
        <f t="shared" si="0"/>
        <v>5416.9051196675346</v>
      </c>
      <c r="AB11" s="5">
        <f t="shared" si="0"/>
        <v>5395.2374991888637</v>
      </c>
    </row>
    <row r="12" spans="1:28" x14ac:dyDescent="0.25">
      <c r="A12" s="4" t="s">
        <v>339</v>
      </c>
      <c r="B12" s="2" t="s">
        <v>313</v>
      </c>
      <c r="D12" s="7">
        <f>D6*Inputs!$C$23*(1-Inputs!$C$29)*IF(D$4&lt;=Inputs!$C$27,1,0)</f>
        <v>1</v>
      </c>
      <c r="E12" s="7">
        <f>E6*Inputs!$C$23*(1-Inputs!$C$29)*IF(E$4&lt;=Inputs!$C$27,1,0)</f>
        <v>1</v>
      </c>
      <c r="F12" s="7">
        <f>F6*Inputs!$C$23*(1-Inputs!$C$29)*IF(F$4&lt;=Inputs!$C$27,1,0)</f>
        <v>1</v>
      </c>
      <c r="G12" s="7">
        <f>G6*Inputs!$C$23*(1-Inputs!$C$29)*IF(G$4&lt;=Inputs!$C$27,1,0)</f>
        <v>1</v>
      </c>
      <c r="H12" s="7">
        <f>H6*Inputs!$C$23*(1-Inputs!$C$29)*IF(H$4&lt;=Inputs!$C$27,1,0)</f>
        <v>1</v>
      </c>
      <c r="I12" s="7">
        <f>I6*Inputs!$C$23*(1-Inputs!$C$29)*IF(I$4&lt;=Inputs!$C$27,1,0)</f>
        <v>1</v>
      </c>
      <c r="J12" s="7">
        <f>J6*Inputs!$C$23*(1-Inputs!$C$29)*IF(J$4&lt;=Inputs!$C$27,1,0)</f>
        <v>1</v>
      </c>
      <c r="K12" s="7">
        <f>K6*Inputs!$C$23*(1-Inputs!$C$29)*IF(K$4&lt;=Inputs!$C$27,1,0)</f>
        <v>1</v>
      </c>
      <c r="L12" s="7">
        <f>L6*Inputs!$C$23*(1-Inputs!$C$29)*IF(L$4&lt;=Inputs!$C$27,1,0)</f>
        <v>1</v>
      </c>
      <c r="M12" s="7">
        <f>M6*Inputs!$C$23*(1-Inputs!$C$29)*IF(M$4&lt;=Inputs!$C$27,1,0)</f>
        <v>1</v>
      </c>
      <c r="N12" s="7">
        <f>N6*Inputs!$C$23*(1-Inputs!$C$29)*IF(N$4&lt;=Inputs!$C$27,1,0)</f>
        <v>1</v>
      </c>
      <c r="O12" s="7">
        <f>O6*Inputs!$C$23*(1-Inputs!$C$29)*IF(O$4&lt;=Inputs!$C$27,1,0)</f>
        <v>1</v>
      </c>
      <c r="P12" s="7">
        <f>P6*Inputs!$C$23*(1-Inputs!$C$29)*IF(P$4&lt;=Inputs!$C$27,1,0)</f>
        <v>1</v>
      </c>
      <c r="Q12" s="7">
        <f>Q6*Inputs!$C$23*(1-Inputs!$C$29)*IF(Q$4&lt;=Inputs!$C$27,1,0)</f>
        <v>1</v>
      </c>
      <c r="R12" s="7">
        <f>R6*Inputs!$C$23*(1-Inputs!$C$29)*IF(R$4&lt;=Inputs!$C$27,1,0)</f>
        <v>1</v>
      </c>
      <c r="S12" s="7">
        <f>S6*Inputs!$C$23*(1-Inputs!$C$29)*IF(S$4&lt;=Inputs!$C$27,1,0)</f>
        <v>0</v>
      </c>
      <c r="T12" s="7">
        <f>T6*Inputs!$C$23*(1-Inputs!$C$29)*IF(T$4&lt;=Inputs!$C$27,1,0)</f>
        <v>0</v>
      </c>
      <c r="U12" s="7">
        <f>U6*Inputs!$C$23*(1-Inputs!$C$29)*IF(U$4&lt;=Inputs!$C$27,1,0)</f>
        <v>0</v>
      </c>
      <c r="V12" s="7">
        <f>V6*Inputs!$C$23*(1-Inputs!$C$29)*IF(V$4&lt;=Inputs!$C$27,1,0)</f>
        <v>0</v>
      </c>
      <c r="W12" s="7">
        <f>W6*Inputs!$C$23*(1-Inputs!$C$29)*IF(W$4&lt;=Inputs!$C$27,1,0)</f>
        <v>0</v>
      </c>
      <c r="X12" s="7">
        <f>X6*Inputs!$C$23*(1-Inputs!$C$29)*IF(X$4&lt;=Inputs!$C$27,1,0)</f>
        <v>0</v>
      </c>
      <c r="Y12" s="7">
        <f>Y6*Inputs!$C$23*(1-Inputs!$C$29)*IF(Y$4&lt;=Inputs!$C$27,1,0)</f>
        <v>0</v>
      </c>
      <c r="Z12" s="7">
        <f>Z6*Inputs!$C$23*(1-Inputs!$C$29)*IF(Z$4&lt;=Inputs!$C$27,1,0)</f>
        <v>0</v>
      </c>
      <c r="AA12" s="7">
        <f>AA6*Inputs!$C$23*(1-Inputs!$C$29)*IF(AA$4&lt;=Inputs!$C$27,1,0)</f>
        <v>0</v>
      </c>
      <c r="AB12" s="7">
        <f>AB6*Inputs!$C$23*(1-Inputs!$C$29)*IF(AB$4&lt;=Inputs!$C$27,1,0)</f>
        <v>0</v>
      </c>
    </row>
    <row r="13" spans="1:28" x14ac:dyDescent="0.25">
      <c r="A13" s="4" t="s">
        <v>340</v>
      </c>
      <c r="B13" s="2" t="s">
        <v>333</v>
      </c>
      <c r="D13" s="5">
        <f>D12*(D11+D10*Inputs!$C$24)</f>
        <v>0</v>
      </c>
      <c r="E13" s="5">
        <f>E12*(E11+E10*Inputs!$C$24)</f>
        <v>0</v>
      </c>
      <c r="F13" s="5">
        <f>F12*(F11+F10*Inputs!$C$24)</f>
        <v>0</v>
      </c>
      <c r="G13" s="5">
        <f>G12*(G11+G10*Inputs!$C$24)</f>
        <v>0</v>
      </c>
      <c r="H13" s="5">
        <f>H12*(H11+H10*Inputs!$C$24)</f>
        <v>5845.5287208806394</v>
      </c>
      <c r="I13" s="5">
        <f>I12*(I11+I10*Inputs!$C$24)</f>
        <v>5822.1466059971171</v>
      </c>
      <c r="J13" s="5">
        <f>J12*(J11+J10*Inputs!$C$24)</f>
        <v>5798.8580195731283</v>
      </c>
      <c r="K13" s="5">
        <f>K12*(K11+K10*Inputs!$C$24)</f>
        <v>5775.6625874948359</v>
      </c>
      <c r="L13" s="5">
        <f>L12*(L11+L10*Inputs!$C$24)</f>
        <v>5752.559937144857</v>
      </c>
      <c r="M13" s="5">
        <f>M12*(M11+M10*Inputs!$C$24)</f>
        <v>5729.5496973962781</v>
      </c>
      <c r="N13" s="5">
        <f>N12*(N11+N10*Inputs!$C$24)</f>
        <v>5706.6314986066927</v>
      </c>
      <c r="O13" s="5">
        <f>O12*(O11+O10*Inputs!$C$24)</f>
        <v>5683.8049726122654</v>
      </c>
      <c r="P13" s="5">
        <f>P12*(P11+P10*Inputs!$C$24)</f>
        <v>5661.0697527218163</v>
      </c>
      <c r="Q13" s="5">
        <f>Q12*(Q11+Q10*Inputs!$C$24)</f>
        <v>5638.4254737109304</v>
      </c>
      <c r="R13" s="5">
        <f>R12*(R11+R10*Inputs!$C$24)</f>
        <v>5615.871771816086</v>
      </c>
      <c r="S13" s="5">
        <f>S12*(S11+S10*Inputs!$C$24)</f>
        <v>0</v>
      </c>
      <c r="T13" s="5">
        <f>T12*(T11+T10*Inputs!$C$24)</f>
        <v>0</v>
      </c>
      <c r="U13" s="5">
        <f>U12*(U11+U10*Inputs!$C$24)</f>
        <v>0</v>
      </c>
      <c r="V13" s="5">
        <f>V12*(V11+V10*Inputs!$C$24)</f>
        <v>0</v>
      </c>
      <c r="W13" s="5">
        <f>W12*(W11+W10*Inputs!$C$24)</f>
        <v>0</v>
      </c>
      <c r="X13" s="5">
        <f>X12*(X11+X10*Inputs!$C$24)</f>
        <v>0</v>
      </c>
      <c r="Y13" s="5">
        <f>Y12*(Y11+Y10*Inputs!$C$24)</f>
        <v>0</v>
      </c>
      <c r="Z13" s="5">
        <f>Z12*(Z11+Z10*Inputs!$C$24)</f>
        <v>0</v>
      </c>
      <c r="AA13" s="5">
        <f>AA12*(AA11+AA10*Inputs!$C$24)</f>
        <v>0</v>
      </c>
      <c r="AB13" s="5">
        <f>AB12*(AB11+AB10*Inputs!$C$24)</f>
        <v>0</v>
      </c>
    </row>
    <row r="14" spans="1:28" x14ac:dyDescent="0.25">
      <c r="A14" s="4" t="s">
        <v>341</v>
      </c>
      <c r="B14" s="2" t="s">
        <v>333</v>
      </c>
      <c r="D14" s="5">
        <f t="shared" ref="D14:AB14" si="1">D11+D10-D13</f>
        <v>1782.0000000000002</v>
      </c>
      <c r="E14" s="5">
        <f t="shared" si="1"/>
        <v>1774.8720000000003</v>
      </c>
      <c r="F14" s="5">
        <f t="shared" si="1"/>
        <v>1767.7725120000002</v>
      </c>
      <c r="G14" s="5">
        <f t="shared" si="1"/>
        <v>1760.7014219520004</v>
      </c>
      <c r="H14" s="5">
        <f t="shared" si="1"/>
        <v>0</v>
      </c>
      <c r="I14" s="5">
        <f t="shared" si="1"/>
        <v>0</v>
      </c>
      <c r="J14" s="5">
        <f t="shared" si="1"/>
        <v>0</v>
      </c>
      <c r="K14" s="5">
        <f t="shared" si="1"/>
        <v>0</v>
      </c>
      <c r="L14" s="5">
        <f t="shared" si="1"/>
        <v>0</v>
      </c>
      <c r="M14" s="5">
        <f t="shared" si="1"/>
        <v>0</v>
      </c>
      <c r="N14" s="5">
        <f t="shared" si="1"/>
        <v>0</v>
      </c>
      <c r="O14" s="5">
        <f t="shared" si="1"/>
        <v>0</v>
      </c>
      <c r="P14" s="5">
        <f t="shared" si="1"/>
        <v>0</v>
      </c>
      <c r="Q14" s="5">
        <f t="shared" si="1"/>
        <v>0</v>
      </c>
      <c r="R14" s="5">
        <f t="shared" si="1"/>
        <v>0</v>
      </c>
      <c r="S14" s="5">
        <f t="shared" si="1"/>
        <v>5593.4082847288209</v>
      </c>
      <c r="T14" s="5">
        <f t="shared" si="1"/>
        <v>5571.0346515899064</v>
      </c>
      <c r="U14" s="5">
        <f t="shared" si="1"/>
        <v>5548.7505129835463</v>
      </c>
      <c r="V14" s="5">
        <f t="shared" si="1"/>
        <v>5526.5555109316128</v>
      </c>
      <c r="W14" s="5">
        <f t="shared" si="1"/>
        <v>5504.4492888878858</v>
      </c>
      <c r="X14" s="5">
        <f t="shared" si="1"/>
        <v>5482.4314917323345</v>
      </c>
      <c r="Y14" s="5">
        <f t="shared" si="1"/>
        <v>5460.5017657654053</v>
      </c>
      <c r="Z14" s="5">
        <f t="shared" si="1"/>
        <v>5438.6597587023443</v>
      </c>
      <c r="AA14" s="5">
        <f t="shared" si="1"/>
        <v>5416.9051196675346</v>
      </c>
      <c r="AB14" s="5">
        <f t="shared" si="1"/>
        <v>5395.2374991888637</v>
      </c>
    </row>
    <row r="15" spans="1:28" x14ac:dyDescent="0.25">
      <c r="A15" s="31" t="s">
        <v>113</v>
      </c>
    </row>
    <row r="16" spans="1:28" x14ac:dyDescent="0.25">
      <c r="A16" s="4" t="s">
        <v>342</v>
      </c>
      <c r="B16" s="2" t="s">
        <v>119</v>
      </c>
      <c r="D16" s="33">
        <f>Inputs!$C$16*(1+Inputs!$C$19)^(D$4-1)</f>
        <v>110</v>
      </c>
      <c r="E16" s="33">
        <f>Inputs!$C$16*(1+Inputs!$C$19)^(E$4-1)</f>
        <v>111.1</v>
      </c>
      <c r="F16" s="33">
        <f>Inputs!$C$16*(1+Inputs!$C$19)^(F$4-1)</f>
        <v>112.211</v>
      </c>
      <c r="G16" s="33">
        <f>Inputs!$C$16*(1+Inputs!$C$19)^(G$4-1)</f>
        <v>113.33310999999999</v>
      </c>
      <c r="H16" s="33">
        <f>Inputs!$C$16*(1+Inputs!$C$19)^(H$4-1)</f>
        <v>114.4664411</v>
      </c>
      <c r="I16" s="33">
        <f>Inputs!$C$16*(1+Inputs!$C$19)^(I$4-1)</f>
        <v>115.61110551099999</v>
      </c>
      <c r="J16" s="33">
        <f>Inputs!$C$16*(1+Inputs!$C$19)^(J$4-1)</f>
        <v>116.76721656611001</v>
      </c>
      <c r="K16" s="33">
        <f>Inputs!$C$16*(1+Inputs!$C$19)^(K$4-1)</f>
        <v>117.93488873177108</v>
      </c>
      <c r="L16" s="33">
        <f>Inputs!$C$16*(1+Inputs!$C$19)^(L$4-1)</f>
        <v>119.11423761908883</v>
      </c>
      <c r="M16" s="33">
        <f>Inputs!$C$16*(1+Inputs!$C$19)^(M$4-1)</f>
        <v>120.30537999527972</v>
      </c>
      <c r="N16" s="33">
        <f>Inputs!$C$16*(1+Inputs!$C$19)^(N$4-1)</f>
        <v>121.50843379523252</v>
      </c>
      <c r="O16" s="33">
        <f>Inputs!$C$16*(1+Inputs!$C$19)^(O$4-1)</f>
        <v>122.72351813318483</v>
      </c>
      <c r="P16" s="33">
        <f>Inputs!$C$16*(1+Inputs!$C$19)^(P$4-1)</f>
        <v>123.95075331451667</v>
      </c>
      <c r="Q16" s="33">
        <f>Inputs!$C$16*(1+Inputs!$C$19)^(Q$4-1)</f>
        <v>125.19026084766185</v>
      </c>
      <c r="R16" s="33">
        <f>Inputs!$C$16*(1+Inputs!$C$19)^(R$4-1)</f>
        <v>126.44216345613849</v>
      </c>
      <c r="S16" s="33">
        <f>Inputs!$C$16*(1+Inputs!$C$19)^(S$4-1)</f>
        <v>127.70658509069983</v>
      </c>
      <c r="T16" s="33">
        <f>Inputs!$C$16*(1+Inputs!$C$19)^(T$4-1)</f>
        <v>128.98365094160687</v>
      </c>
      <c r="U16" s="33">
        <f>Inputs!$C$16*(1+Inputs!$C$19)^(U$4-1)</f>
        <v>130.27348745102293</v>
      </c>
      <c r="V16" s="33">
        <f>Inputs!$C$16*(1+Inputs!$C$19)^(V$4-1)</f>
        <v>131.57622232553317</v>
      </c>
      <c r="W16" s="33">
        <f>Inputs!$C$16*(1+Inputs!$C$19)^(W$4-1)</f>
        <v>132.89198454878849</v>
      </c>
      <c r="X16" s="33">
        <f>Inputs!$C$16*(1+Inputs!$C$19)^(X$4-1)</f>
        <v>134.22090439427637</v>
      </c>
      <c r="Y16" s="33">
        <f>Inputs!$C$16*(1+Inputs!$C$19)^(Y$4-1)</f>
        <v>135.56311343821912</v>
      </c>
      <c r="Z16" s="33">
        <f>Inputs!$C$16*(1+Inputs!$C$19)^(Z$4-1)</f>
        <v>136.91874457260136</v>
      </c>
      <c r="AA16" s="33">
        <f>Inputs!$C$16*(1+Inputs!$C$19)^(AA$4-1)</f>
        <v>138.28793201832735</v>
      </c>
      <c r="AB16" s="33">
        <f>Inputs!$C$16*(1+Inputs!$C$19)^(AB$4-1)</f>
        <v>139.67081133851065</v>
      </c>
    </row>
    <row r="17" spans="1:28" x14ac:dyDescent="0.25">
      <c r="A17" s="4" t="s">
        <v>343</v>
      </c>
      <c r="B17" s="2" t="s">
        <v>119</v>
      </c>
      <c r="D17" s="33">
        <f>Inputs!$C$21*(1+Inputs!$C$22)^(D$4-1)*(1+Inputs!$C$67)</f>
        <v>45</v>
      </c>
      <c r="E17" s="33">
        <f>Inputs!$C$21*(1+Inputs!$C$22)^(E$4-1)*(1+Inputs!$C$67)</f>
        <v>45</v>
      </c>
      <c r="F17" s="33">
        <f>Inputs!$C$21*(1+Inputs!$C$22)^(F$4-1)*(1+Inputs!$C$67)</f>
        <v>45</v>
      </c>
      <c r="G17" s="33">
        <f>Inputs!$C$21*(1+Inputs!$C$22)^(G$4-1)*(1+Inputs!$C$67)</f>
        <v>45</v>
      </c>
      <c r="H17" s="33">
        <f>Inputs!$C$21*(1+Inputs!$C$22)^(H$4-1)*(1+Inputs!$C$67)</f>
        <v>45</v>
      </c>
      <c r="I17" s="33">
        <f>Inputs!$C$21*(1+Inputs!$C$22)^(I$4-1)*(1+Inputs!$C$67)</f>
        <v>45</v>
      </c>
      <c r="J17" s="33">
        <f>Inputs!$C$21*(1+Inputs!$C$22)^(J$4-1)*(1+Inputs!$C$67)</f>
        <v>45</v>
      </c>
      <c r="K17" s="33">
        <f>Inputs!$C$21*(1+Inputs!$C$22)^(K$4-1)*(1+Inputs!$C$67)</f>
        <v>45</v>
      </c>
      <c r="L17" s="33">
        <f>Inputs!$C$21*(1+Inputs!$C$22)^(L$4-1)*(1+Inputs!$C$67)</f>
        <v>45</v>
      </c>
      <c r="M17" s="33">
        <f>Inputs!$C$21*(1+Inputs!$C$22)^(M$4-1)*(1+Inputs!$C$67)</f>
        <v>45</v>
      </c>
      <c r="N17" s="33">
        <f>Inputs!$C$21*(1+Inputs!$C$22)^(N$4-1)*(1+Inputs!$C$67)</f>
        <v>45</v>
      </c>
      <c r="O17" s="33">
        <f>Inputs!$C$21*(1+Inputs!$C$22)^(O$4-1)*(1+Inputs!$C$67)</f>
        <v>45</v>
      </c>
      <c r="P17" s="33">
        <f>Inputs!$C$21*(1+Inputs!$C$22)^(P$4-1)*(1+Inputs!$C$67)</f>
        <v>45</v>
      </c>
      <c r="Q17" s="33">
        <f>Inputs!$C$21*(1+Inputs!$C$22)^(Q$4-1)*(1+Inputs!$C$67)</f>
        <v>45</v>
      </c>
      <c r="R17" s="33">
        <f>Inputs!$C$21*(1+Inputs!$C$22)^(R$4-1)*(1+Inputs!$C$67)</f>
        <v>45</v>
      </c>
      <c r="S17" s="33">
        <f>Inputs!$C$21*(1+Inputs!$C$22)^(S$4-1)*(1+Inputs!$C$67)</f>
        <v>45</v>
      </c>
      <c r="T17" s="33">
        <f>Inputs!$C$21*(1+Inputs!$C$22)^(T$4-1)*(1+Inputs!$C$67)</f>
        <v>45</v>
      </c>
      <c r="U17" s="33">
        <f>Inputs!$C$21*(1+Inputs!$C$22)^(U$4-1)*(1+Inputs!$C$67)</f>
        <v>45</v>
      </c>
      <c r="V17" s="33">
        <f>Inputs!$C$21*(1+Inputs!$C$22)^(V$4-1)*(1+Inputs!$C$67)</f>
        <v>45</v>
      </c>
      <c r="W17" s="33">
        <f>Inputs!$C$21*(1+Inputs!$C$22)^(W$4-1)*(1+Inputs!$C$67)</f>
        <v>45</v>
      </c>
      <c r="X17" s="33">
        <f>Inputs!$C$21*(1+Inputs!$C$22)^(X$4-1)*(1+Inputs!$C$67)</f>
        <v>45</v>
      </c>
      <c r="Y17" s="33">
        <f>Inputs!$C$21*(1+Inputs!$C$22)^(Y$4-1)*(1+Inputs!$C$67)</f>
        <v>45</v>
      </c>
      <c r="Z17" s="33">
        <f>Inputs!$C$21*(1+Inputs!$C$22)^(Z$4-1)*(1+Inputs!$C$67)</f>
        <v>45</v>
      </c>
      <c r="AA17" s="33">
        <f>Inputs!$C$21*(1+Inputs!$C$22)^(AA$4-1)*(1+Inputs!$C$67)</f>
        <v>45</v>
      </c>
      <c r="AB17" s="33">
        <f>Inputs!$C$21*(1+Inputs!$C$22)^(AB$4-1)*(1+Inputs!$C$67)</f>
        <v>45</v>
      </c>
    </row>
    <row r="18" spans="1:28" x14ac:dyDescent="0.25">
      <c r="A18" s="4" t="s">
        <v>344</v>
      </c>
      <c r="B18" s="2" t="s">
        <v>225</v>
      </c>
      <c r="D18" s="5">
        <f t="shared" ref="D18:AB18" si="2">D9*D16</f>
        <v>457380</v>
      </c>
      <c r="E18" s="5">
        <f t="shared" si="2"/>
        <v>460105.98479999992</v>
      </c>
      <c r="F18" s="5">
        <f t="shared" si="2"/>
        <v>462848.2164694079</v>
      </c>
      <c r="G18" s="5">
        <f t="shared" si="2"/>
        <v>465606.79183956556</v>
      </c>
      <c r="H18" s="5">
        <f t="shared" si="2"/>
        <v>0</v>
      </c>
      <c r="I18" s="5">
        <f t="shared" si="2"/>
        <v>0</v>
      </c>
      <c r="J18" s="5">
        <f t="shared" si="2"/>
        <v>0</v>
      </c>
      <c r="K18" s="5">
        <f t="shared" si="2"/>
        <v>0</v>
      </c>
      <c r="L18" s="5">
        <f t="shared" si="2"/>
        <v>0</v>
      </c>
      <c r="M18" s="5">
        <f t="shared" si="2"/>
        <v>0</v>
      </c>
      <c r="N18" s="5">
        <f t="shared" si="2"/>
        <v>0</v>
      </c>
      <c r="O18" s="5">
        <f t="shared" si="2"/>
        <v>0</v>
      </c>
      <c r="P18" s="5">
        <f t="shared" si="2"/>
        <v>0</v>
      </c>
      <c r="Q18" s="5">
        <f t="shared" si="2"/>
        <v>0</v>
      </c>
      <c r="R18" s="5">
        <f t="shared" si="2"/>
        <v>0</v>
      </c>
      <c r="S18" s="5">
        <f t="shared" si="2"/>
        <v>0</v>
      </c>
      <c r="T18" s="5">
        <f t="shared" si="2"/>
        <v>0</v>
      </c>
      <c r="U18" s="5">
        <f t="shared" si="2"/>
        <v>0</v>
      </c>
      <c r="V18" s="5">
        <f t="shared" si="2"/>
        <v>0</v>
      </c>
      <c r="W18" s="5">
        <f t="shared" si="2"/>
        <v>0</v>
      </c>
      <c r="X18" s="5">
        <f t="shared" si="2"/>
        <v>0</v>
      </c>
      <c r="Y18" s="5">
        <f t="shared" si="2"/>
        <v>0</v>
      </c>
      <c r="Z18" s="5">
        <f t="shared" si="2"/>
        <v>0</v>
      </c>
      <c r="AA18" s="5">
        <f t="shared" si="2"/>
        <v>0</v>
      </c>
      <c r="AB18" s="5">
        <f t="shared" si="2"/>
        <v>0</v>
      </c>
    </row>
    <row r="19" spans="1:28" x14ac:dyDescent="0.25">
      <c r="A19" s="4" t="s">
        <v>345</v>
      </c>
      <c r="B19" s="2" t="s">
        <v>225</v>
      </c>
      <c r="D19" s="5">
        <f>D13*(1-Inputs!$C$26)*(Inputs!$C$25-Inputs!$C$28)+D14*(D17-Inputs!$C$28)</f>
        <v>74844.000000000015</v>
      </c>
      <c r="E19" s="5">
        <f>E13*(1-Inputs!$C$26)*(Inputs!$C$25-Inputs!$C$28)+E14*(E17-Inputs!$C$28)</f>
        <v>74544.624000000011</v>
      </c>
      <c r="F19" s="5">
        <f>F13*(1-Inputs!$C$26)*(Inputs!$C$25-Inputs!$C$28)+F14*(F17-Inputs!$C$28)</f>
        <v>74246.445504000003</v>
      </c>
      <c r="G19" s="5">
        <f>G13*(1-Inputs!$C$26)*(Inputs!$C$25-Inputs!$C$28)+G14*(G17-Inputs!$C$28)</f>
        <v>73949.459721984022</v>
      </c>
      <c r="H19" s="5">
        <f>H13*(1-Inputs!$C$26)*(Inputs!$C$25-Inputs!$C$28)+H14*(H17-Inputs!$C$28)</f>
        <v>444698.59744099464</v>
      </c>
      <c r="I19" s="5">
        <f>I13*(1-Inputs!$C$26)*(Inputs!$C$25-Inputs!$C$28)+I14*(I17-Inputs!$C$28)</f>
        <v>442919.80305123067</v>
      </c>
      <c r="J19" s="5">
        <f>J13*(1-Inputs!$C$26)*(Inputs!$C$25-Inputs!$C$28)+J14*(J17-Inputs!$C$28)</f>
        <v>441148.12383902573</v>
      </c>
      <c r="K19" s="5">
        <f>K13*(1-Inputs!$C$26)*(Inputs!$C$25-Inputs!$C$28)+K14*(K17-Inputs!$C$28)</f>
        <v>439383.53134366963</v>
      </c>
      <c r="L19" s="5">
        <f>L13*(1-Inputs!$C$26)*(Inputs!$C$25-Inputs!$C$28)+L14*(L17-Inputs!$C$28)</f>
        <v>437625.997218295</v>
      </c>
      <c r="M19" s="5">
        <f>M13*(1-Inputs!$C$26)*(Inputs!$C$25-Inputs!$C$28)+M14*(M17-Inputs!$C$28)</f>
        <v>435875.49322942185</v>
      </c>
      <c r="N19" s="5">
        <f>N13*(1-Inputs!$C$26)*(Inputs!$C$25-Inputs!$C$28)+N14*(N17-Inputs!$C$28)</f>
        <v>434131.99125650414</v>
      </c>
      <c r="O19" s="5">
        <f>O13*(1-Inputs!$C$26)*(Inputs!$C$25-Inputs!$C$28)+O14*(O17-Inputs!$C$28)</f>
        <v>432395.46329147811</v>
      </c>
      <c r="P19" s="5">
        <f>P13*(1-Inputs!$C$26)*(Inputs!$C$25-Inputs!$C$28)+P14*(P17-Inputs!$C$28)</f>
        <v>430665.88143831218</v>
      </c>
      <c r="Q19" s="5">
        <f>Q13*(1-Inputs!$C$26)*(Inputs!$C$25-Inputs!$C$28)+Q14*(Q17-Inputs!$C$28)</f>
        <v>428943.21791255905</v>
      </c>
      <c r="R19" s="5">
        <f>R13*(1-Inputs!$C$26)*(Inputs!$C$25-Inputs!$C$28)+R14*(R17-Inputs!$C$28)</f>
        <v>427227.44504090876</v>
      </c>
      <c r="S19" s="5">
        <f>S13*(1-Inputs!$C$26)*(Inputs!$C$25-Inputs!$C$28)+S14*(S17-Inputs!$C$28)</f>
        <v>234923.14795861047</v>
      </c>
      <c r="T19" s="5">
        <f>T13*(1-Inputs!$C$26)*(Inputs!$C$25-Inputs!$C$28)+T14*(T17-Inputs!$C$28)</f>
        <v>233983.45536677606</v>
      </c>
      <c r="U19" s="5">
        <f>U13*(1-Inputs!$C$26)*(Inputs!$C$25-Inputs!$C$28)+U14*(U17-Inputs!$C$28)</f>
        <v>233047.52154530893</v>
      </c>
      <c r="V19" s="5">
        <f>V13*(1-Inputs!$C$26)*(Inputs!$C$25-Inputs!$C$28)+V14*(V17-Inputs!$C$28)</f>
        <v>232115.33145912774</v>
      </c>
      <c r="W19" s="5">
        <f>W13*(1-Inputs!$C$26)*(Inputs!$C$25-Inputs!$C$28)+W14*(W17-Inputs!$C$28)</f>
        <v>231186.8701332912</v>
      </c>
      <c r="X19" s="5">
        <f>X13*(1-Inputs!$C$26)*(Inputs!$C$25-Inputs!$C$28)+X14*(X17-Inputs!$C$28)</f>
        <v>230262.12265275806</v>
      </c>
      <c r="Y19" s="5">
        <f>Y13*(1-Inputs!$C$26)*(Inputs!$C$25-Inputs!$C$28)+Y14*(Y17-Inputs!$C$28)</f>
        <v>229341.07416214701</v>
      </c>
      <c r="Z19" s="5">
        <f>Z13*(1-Inputs!$C$26)*(Inputs!$C$25-Inputs!$C$28)+Z14*(Z17-Inputs!$C$28)</f>
        <v>228423.70986549847</v>
      </c>
      <c r="AA19" s="5">
        <f>AA13*(1-Inputs!$C$26)*(Inputs!$C$25-Inputs!$C$28)+AA14*(AA17-Inputs!$C$28)</f>
        <v>227510.01502603645</v>
      </c>
      <c r="AB19" s="5">
        <f>AB13*(1-Inputs!$C$26)*(Inputs!$C$25-Inputs!$C$28)+AB14*(AB17-Inputs!$C$28)</f>
        <v>226599.97496593228</v>
      </c>
    </row>
    <row r="20" spans="1:28" x14ac:dyDescent="0.25">
      <c r="A20" s="3" t="s">
        <v>346</v>
      </c>
      <c r="B20" s="2" t="s">
        <v>225</v>
      </c>
      <c r="D20" s="25">
        <f t="shared" ref="D20:AB20" si="3">D18+D19</f>
        <v>532224</v>
      </c>
      <c r="E20" s="25">
        <f t="shared" si="3"/>
        <v>534650.60879999993</v>
      </c>
      <c r="F20" s="25">
        <f t="shared" si="3"/>
        <v>537094.66197340796</v>
      </c>
      <c r="G20" s="25">
        <f t="shared" si="3"/>
        <v>539556.25156154961</v>
      </c>
      <c r="H20" s="25">
        <f t="shared" si="3"/>
        <v>444698.59744099464</v>
      </c>
      <c r="I20" s="25">
        <f t="shared" si="3"/>
        <v>442919.80305123067</v>
      </c>
      <c r="J20" s="25">
        <f t="shared" si="3"/>
        <v>441148.12383902573</v>
      </c>
      <c r="K20" s="25">
        <f t="shared" si="3"/>
        <v>439383.53134366963</v>
      </c>
      <c r="L20" s="25">
        <f t="shared" si="3"/>
        <v>437625.997218295</v>
      </c>
      <c r="M20" s="25">
        <f t="shared" si="3"/>
        <v>435875.49322942185</v>
      </c>
      <c r="N20" s="25">
        <f t="shared" si="3"/>
        <v>434131.99125650414</v>
      </c>
      <c r="O20" s="25">
        <f t="shared" si="3"/>
        <v>432395.46329147811</v>
      </c>
      <c r="P20" s="25">
        <f t="shared" si="3"/>
        <v>430665.88143831218</v>
      </c>
      <c r="Q20" s="25">
        <f t="shared" si="3"/>
        <v>428943.21791255905</v>
      </c>
      <c r="R20" s="25">
        <f t="shared" si="3"/>
        <v>427227.44504090876</v>
      </c>
      <c r="S20" s="25">
        <f t="shared" si="3"/>
        <v>234923.14795861047</v>
      </c>
      <c r="T20" s="25">
        <f t="shared" si="3"/>
        <v>233983.45536677606</v>
      </c>
      <c r="U20" s="25">
        <f t="shared" si="3"/>
        <v>233047.52154530893</v>
      </c>
      <c r="V20" s="25">
        <f t="shared" si="3"/>
        <v>232115.33145912774</v>
      </c>
      <c r="W20" s="25">
        <f t="shared" si="3"/>
        <v>231186.8701332912</v>
      </c>
      <c r="X20" s="25">
        <f t="shared" si="3"/>
        <v>230262.12265275806</v>
      </c>
      <c r="Y20" s="25">
        <f t="shared" si="3"/>
        <v>229341.07416214701</v>
      </c>
      <c r="Z20" s="25">
        <f t="shared" si="3"/>
        <v>228423.70986549847</v>
      </c>
      <c r="AA20" s="25">
        <f t="shared" si="3"/>
        <v>227510.01502603645</v>
      </c>
      <c r="AB20" s="25">
        <f t="shared" si="3"/>
        <v>226599.97496593228</v>
      </c>
    </row>
    <row r="21" spans="1:28" x14ac:dyDescent="0.25">
      <c r="A21" s="31" t="s">
        <v>347</v>
      </c>
    </row>
    <row r="22" spans="1:28" x14ac:dyDescent="0.25">
      <c r="A22" s="4" t="s">
        <v>176</v>
      </c>
      <c r="B22" s="2" t="s">
        <v>225</v>
      </c>
      <c r="D22" s="5">
        <f>Inputs!$C$71*Inputs!$C$32*(1+Inputs!$C$39)^(D$4-1)*D6</f>
        <v>60000</v>
      </c>
      <c r="E22" s="5">
        <f>Inputs!$C$71*Inputs!$C$32*(1+Inputs!$C$39)^(E$4-1)*E6</f>
        <v>61200</v>
      </c>
      <c r="F22" s="5">
        <f>Inputs!$C$71*Inputs!$C$32*(1+Inputs!$C$39)^(F$4-1)*F6</f>
        <v>62424</v>
      </c>
      <c r="G22" s="5">
        <f>Inputs!$C$71*Inputs!$C$32*(1+Inputs!$C$39)^(G$4-1)*G6</f>
        <v>63672.479999999996</v>
      </c>
      <c r="H22" s="5">
        <f>Inputs!$C$71*Inputs!$C$32*(1+Inputs!$C$39)^(H$4-1)*H6</f>
        <v>64945.929599999996</v>
      </c>
      <c r="I22" s="5">
        <f>Inputs!$C$71*Inputs!$C$32*(1+Inputs!$C$39)^(I$4-1)*I6</f>
        <v>66244.848192000005</v>
      </c>
      <c r="J22" s="5">
        <f>Inputs!$C$71*Inputs!$C$32*(1+Inputs!$C$39)^(J$4-1)*J6</f>
        <v>67569.745155840006</v>
      </c>
      <c r="K22" s="5">
        <f>Inputs!$C$71*Inputs!$C$32*(1+Inputs!$C$39)^(K$4-1)*K6</f>
        <v>68921.140058956793</v>
      </c>
      <c r="L22" s="5">
        <f>Inputs!$C$71*Inputs!$C$32*(1+Inputs!$C$39)^(L$4-1)*L6</f>
        <v>70299.562860135935</v>
      </c>
      <c r="M22" s="5">
        <f>Inputs!$C$71*Inputs!$C$32*(1+Inputs!$C$39)^(M$4-1)*M6</f>
        <v>71705.554117338645</v>
      </c>
      <c r="N22" s="5">
        <f>Inputs!$C$71*Inputs!$C$32*(1+Inputs!$C$39)^(N$4-1)*N6</f>
        <v>73139.66519968542</v>
      </c>
      <c r="O22" s="5">
        <f>Inputs!$C$71*Inputs!$C$32*(1+Inputs!$C$39)^(O$4-1)*O6</f>
        <v>74602.458503679125</v>
      </c>
      <c r="P22" s="5">
        <f>Inputs!$C$71*Inputs!$C$32*(1+Inputs!$C$39)^(P$4-1)*P6</f>
        <v>76094.507673752712</v>
      </c>
      <c r="Q22" s="5">
        <f>Inputs!$C$71*Inputs!$C$32*(1+Inputs!$C$39)^(Q$4-1)*Q6</f>
        <v>77616.39782722776</v>
      </c>
      <c r="R22" s="5">
        <f>Inputs!$C$71*Inputs!$C$32*(1+Inputs!$C$39)^(R$4-1)*R6</f>
        <v>79168.72578377233</v>
      </c>
      <c r="S22" s="5">
        <f>Inputs!$C$71*Inputs!$C$32*(1+Inputs!$C$39)^(S$4-1)*S6</f>
        <v>80752.10029944776</v>
      </c>
      <c r="T22" s="5">
        <f>Inputs!$C$71*Inputs!$C$32*(1+Inputs!$C$39)^(T$4-1)*T6</f>
        <v>82367.142305436719</v>
      </c>
      <c r="U22" s="5">
        <f>Inputs!$C$71*Inputs!$C$32*(1+Inputs!$C$39)^(U$4-1)*U6</f>
        <v>84014.485151545465</v>
      </c>
      <c r="V22" s="5">
        <f>Inputs!$C$71*Inputs!$C$32*(1+Inputs!$C$39)^(V$4-1)*V6</f>
        <v>85694.774854576361</v>
      </c>
      <c r="W22" s="5">
        <f>Inputs!$C$71*Inputs!$C$32*(1+Inputs!$C$39)^(W$4-1)*W6</f>
        <v>87408.670351667883</v>
      </c>
      <c r="X22" s="5">
        <f>Inputs!$C$71*Inputs!$C$32*(1+Inputs!$C$39)^(X$4-1)*X6</f>
        <v>89156.84375870126</v>
      </c>
      <c r="Y22" s="5">
        <f>Inputs!$C$71*Inputs!$C$32*(1+Inputs!$C$39)^(Y$4-1)*Y6</f>
        <v>90939.980633875268</v>
      </c>
      <c r="Z22" s="5">
        <f>Inputs!$C$71*Inputs!$C$32*(1+Inputs!$C$39)^(Z$4-1)*Z6</f>
        <v>92758.780246552778</v>
      </c>
      <c r="AA22" s="5">
        <f>Inputs!$C$71*Inputs!$C$32*(1+Inputs!$C$39)^(AA$4-1)*AA6</f>
        <v>94613.955851483828</v>
      </c>
      <c r="AB22" s="5">
        <f>Inputs!$C$71*Inputs!$C$32*(1+Inputs!$C$39)^(AB$4-1)*AB6</f>
        <v>96506.234968513498</v>
      </c>
    </row>
    <row r="23" spans="1:28" x14ac:dyDescent="0.25">
      <c r="A23" s="4" t="s">
        <v>180</v>
      </c>
      <c r="B23" s="2" t="s">
        <v>225</v>
      </c>
      <c r="D23" s="5">
        <f>Inputs!$C$71*Inputs!$C$33*(1+Inputs!$C$39)^(D$4-1)*D6</f>
        <v>15000</v>
      </c>
      <c r="E23" s="5">
        <f>Inputs!$C$71*Inputs!$C$33*(1+Inputs!$C$39)^(E$4-1)*E6</f>
        <v>15300</v>
      </c>
      <c r="F23" s="5">
        <f>Inputs!$C$71*Inputs!$C$33*(1+Inputs!$C$39)^(F$4-1)*F6</f>
        <v>15606</v>
      </c>
      <c r="G23" s="5">
        <f>Inputs!$C$71*Inputs!$C$33*(1+Inputs!$C$39)^(G$4-1)*G6</f>
        <v>15918.119999999999</v>
      </c>
      <c r="H23" s="5">
        <f>Inputs!$C$71*Inputs!$C$33*(1+Inputs!$C$39)^(H$4-1)*H6</f>
        <v>16236.482399999999</v>
      </c>
      <c r="I23" s="5">
        <f>Inputs!$C$71*Inputs!$C$33*(1+Inputs!$C$39)^(I$4-1)*I6</f>
        <v>16561.212048000001</v>
      </c>
      <c r="J23" s="5">
        <f>Inputs!$C$71*Inputs!$C$33*(1+Inputs!$C$39)^(J$4-1)*J6</f>
        <v>16892.436288960002</v>
      </c>
      <c r="K23" s="5">
        <f>Inputs!$C$71*Inputs!$C$33*(1+Inputs!$C$39)^(K$4-1)*K6</f>
        <v>17230.285014739198</v>
      </c>
      <c r="L23" s="5">
        <f>Inputs!$C$71*Inputs!$C$33*(1+Inputs!$C$39)^(L$4-1)*L6</f>
        <v>17574.890715033984</v>
      </c>
      <c r="M23" s="5">
        <f>Inputs!$C$71*Inputs!$C$33*(1+Inputs!$C$39)^(M$4-1)*M6</f>
        <v>17926.388529334661</v>
      </c>
      <c r="N23" s="5">
        <f>Inputs!$C$71*Inputs!$C$33*(1+Inputs!$C$39)^(N$4-1)*N6</f>
        <v>18284.916299921355</v>
      </c>
      <c r="O23" s="5">
        <f>Inputs!$C$71*Inputs!$C$33*(1+Inputs!$C$39)^(O$4-1)*O6</f>
        <v>18650.614625919781</v>
      </c>
      <c r="P23" s="5">
        <f>Inputs!$C$71*Inputs!$C$33*(1+Inputs!$C$39)^(P$4-1)*P6</f>
        <v>19023.626918438178</v>
      </c>
      <c r="Q23" s="5">
        <f>Inputs!$C$71*Inputs!$C$33*(1+Inputs!$C$39)^(Q$4-1)*Q6</f>
        <v>19404.09945680694</v>
      </c>
      <c r="R23" s="5">
        <f>Inputs!$C$71*Inputs!$C$33*(1+Inputs!$C$39)^(R$4-1)*R6</f>
        <v>19792.181445943083</v>
      </c>
      <c r="S23" s="5">
        <f>Inputs!$C$71*Inputs!$C$33*(1+Inputs!$C$39)^(S$4-1)*S6</f>
        <v>20188.02507486194</v>
      </c>
      <c r="T23" s="5">
        <f>Inputs!$C$71*Inputs!$C$33*(1+Inputs!$C$39)^(T$4-1)*T6</f>
        <v>20591.78557635918</v>
      </c>
      <c r="U23" s="5">
        <f>Inputs!$C$71*Inputs!$C$33*(1+Inputs!$C$39)^(U$4-1)*U6</f>
        <v>21003.621287886366</v>
      </c>
      <c r="V23" s="5">
        <f>Inputs!$C$71*Inputs!$C$33*(1+Inputs!$C$39)^(V$4-1)*V6</f>
        <v>21423.69371364409</v>
      </c>
      <c r="W23" s="5">
        <f>Inputs!$C$71*Inputs!$C$33*(1+Inputs!$C$39)^(W$4-1)*W6</f>
        <v>21852.167587916971</v>
      </c>
      <c r="X23" s="5">
        <f>Inputs!$C$71*Inputs!$C$33*(1+Inputs!$C$39)^(X$4-1)*X6</f>
        <v>22289.210939675315</v>
      </c>
      <c r="Y23" s="5">
        <f>Inputs!$C$71*Inputs!$C$33*(1+Inputs!$C$39)^(Y$4-1)*Y6</f>
        <v>22734.995158468817</v>
      </c>
      <c r="Z23" s="5">
        <f>Inputs!$C$71*Inputs!$C$33*(1+Inputs!$C$39)^(Z$4-1)*Z6</f>
        <v>23189.695061638195</v>
      </c>
      <c r="AA23" s="5">
        <f>Inputs!$C$71*Inputs!$C$33*(1+Inputs!$C$39)^(AA$4-1)*AA6</f>
        <v>23653.488962870957</v>
      </c>
      <c r="AB23" s="5">
        <f>Inputs!$C$71*Inputs!$C$33*(1+Inputs!$C$39)^(AB$4-1)*AB6</f>
        <v>24126.558742128374</v>
      </c>
    </row>
    <row r="24" spans="1:28" x14ac:dyDescent="0.25">
      <c r="A24" s="4" t="s">
        <v>183</v>
      </c>
      <c r="B24" s="2" t="s">
        <v>225</v>
      </c>
      <c r="D24" s="5">
        <f>Inputs!$C$71*Inputs!$C$34*(1+Inputs!$C$39)^(D$4-1)*D6</f>
        <v>24000</v>
      </c>
      <c r="E24" s="5">
        <f>Inputs!$C$71*Inputs!$C$34*(1+Inputs!$C$39)^(E$4-1)*E6</f>
        <v>24480</v>
      </c>
      <c r="F24" s="5">
        <f>Inputs!$C$71*Inputs!$C$34*(1+Inputs!$C$39)^(F$4-1)*F6</f>
        <v>24969.599999999999</v>
      </c>
      <c r="G24" s="5">
        <f>Inputs!$C$71*Inputs!$C$34*(1+Inputs!$C$39)^(G$4-1)*G6</f>
        <v>25468.991999999998</v>
      </c>
      <c r="H24" s="5">
        <f>Inputs!$C$71*Inputs!$C$34*(1+Inputs!$C$39)^(H$4-1)*H6</f>
        <v>25978.37184</v>
      </c>
      <c r="I24" s="5">
        <f>Inputs!$C$71*Inputs!$C$34*(1+Inputs!$C$39)^(I$4-1)*I6</f>
        <v>26497.9392768</v>
      </c>
      <c r="J24" s="5">
        <f>Inputs!$C$71*Inputs!$C$34*(1+Inputs!$C$39)^(J$4-1)*J6</f>
        <v>27027.898062336</v>
      </c>
      <c r="K24" s="5">
        <f>Inputs!$C$71*Inputs!$C$34*(1+Inputs!$C$39)^(K$4-1)*K6</f>
        <v>27568.456023582716</v>
      </c>
      <c r="L24" s="5">
        <f>Inputs!$C$71*Inputs!$C$34*(1+Inputs!$C$39)^(L$4-1)*L6</f>
        <v>28119.825144054372</v>
      </c>
      <c r="M24" s="5">
        <f>Inputs!$C$71*Inputs!$C$34*(1+Inputs!$C$39)^(M$4-1)*M6</f>
        <v>28682.221646935461</v>
      </c>
      <c r="N24" s="5">
        <f>Inputs!$C$71*Inputs!$C$34*(1+Inputs!$C$39)^(N$4-1)*N6</f>
        <v>29255.866079874169</v>
      </c>
      <c r="O24" s="5">
        <f>Inputs!$C$71*Inputs!$C$34*(1+Inputs!$C$39)^(O$4-1)*O6</f>
        <v>29840.983401471647</v>
      </c>
      <c r="P24" s="5">
        <f>Inputs!$C$71*Inputs!$C$34*(1+Inputs!$C$39)^(P$4-1)*P6</f>
        <v>30437.803069501086</v>
      </c>
      <c r="Q24" s="5">
        <f>Inputs!$C$71*Inputs!$C$34*(1+Inputs!$C$39)^(Q$4-1)*Q6</f>
        <v>31046.559130891106</v>
      </c>
      <c r="R24" s="5">
        <f>Inputs!$C$71*Inputs!$C$34*(1+Inputs!$C$39)^(R$4-1)*R6</f>
        <v>31667.49031350893</v>
      </c>
      <c r="S24" s="5">
        <f>Inputs!$C$71*Inputs!$C$34*(1+Inputs!$C$39)^(S$4-1)*S6</f>
        <v>32300.840119779103</v>
      </c>
      <c r="T24" s="5">
        <f>Inputs!$C$71*Inputs!$C$34*(1+Inputs!$C$39)^(T$4-1)*T6</f>
        <v>32946.856922174687</v>
      </c>
      <c r="U24" s="5">
        <f>Inputs!$C$71*Inputs!$C$34*(1+Inputs!$C$39)^(U$4-1)*U6</f>
        <v>33605.794060618187</v>
      </c>
      <c r="V24" s="5">
        <f>Inputs!$C$71*Inputs!$C$34*(1+Inputs!$C$39)^(V$4-1)*V6</f>
        <v>34277.909941830549</v>
      </c>
      <c r="W24" s="5">
        <f>Inputs!$C$71*Inputs!$C$34*(1+Inputs!$C$39)^(W$4-1)*W6</f>
        <v>34963.468140667152</v>
      </c>
      <c r="X24" s="5">
        <f>Inputs!$C$71*Inputs!$C$34*(1+Inputs!$C$39)^(X$4-1)*X6</f>
        <v>35662.737503480501</v>
      </c>
      <c r="Y24" s="5">
        <f>Inputs!$C$71*Inputs!$C$34*(1+Inputs!$C$39)^(Y$4-1)*Y6</f>
        <v>36375.99225355011</v>
      </c>
      <c r="Z24" s="5">
        <f>Inputs!$C$71*Inputs!$C$34*(1+Inputs!$C$39)^(Z$4-1)*Z6</f>
        <v>37103.512098621111</v>
      </c>
      <c r="AA24" s="5">
        <f>Inputs!$C$71*Inputs!$C$34*(1+Inputs!$C$39)^(AA$4-1)*AA6</f>
        <v>37845.58234059353</v>
      </c>
      <c r="AB24" s="5">
        <f>Inputs!$C$71*Inputs!$C$34*(1+Inputs!$C$39)^(AB$4-1)*AB6</f>
        <v>38602.493987405403</v>
      </c>
    </row>
    <row r="25" spans="1:28" x14ac:dyDescent="0.25">
      <c r="A25" s="4" t="s">
        <v>348</v>
      </c>
      <c r="B25" s="2" t="s">
        <v>225</v>
      </c>
      <c r="D25" s="5">
        <f>Inputs!$C$35*(1+Inputs!$C$39)^(D$4-1)*D6</f>
        <v>20000</v>
      </c>
      <c r="E25" s="5">
        <f>Inputs!$C$35*(1+Inputs!$C$39)^(E$4-1)*E6</f>
        <v>20400</v>
      </c>
      <c r="F25" s="5">
        <f>Inputs!$C$35*(1+Inputs!$C$39)^(F$4-1)*F6</f>
        <v>20808</v>
      </c>
      <c r="G25" s="5">
        <f>Inputs!$C$35*(1+Inputs!$C$39)^(G$4-1)*G6</f>
        <v>21224.16</v>
      </c>
      <c r="H25" s="5">
        <f>Inputs!$C$35*(1+Inputs!$C$39)^(H$4-1)*H6</f>
        <v>21648.643199999999</v>
      </c>
      <c r="I25" s="5">
        <f>Inputs!$C$35*(1+Inputs!$C$39)^(I$4-1)*I6</f>
        <v>22081.616064000002</v>
      </c>
      <c r="J25" s="5">
        <f>Inputs!$C$35*(1+Inputs!$C$39)^(J$4-1)*J6</f>
        <v>22523.24838528</v>
      </c>
      <c r="K25" s="5">
        <f>Inputs!$C$35*(1+Inputs!$C$39)^(K$4-1)*K6</f>
        <v>22973.713352985596</v>
      </c>
      <c r="L25" s="5">
        <f>Inputs!$C$35*(1+Inputs!$C$39)^(L$4-1)*L6</f>
        <v>23433.187620045312</v>
      </c>
      <c r="M25" s="5">
        <f>Inputs!$C$35*(1+Inputs!$C$39)^(M$4-1)*M6</f>
        <v>23901.851372446217</v>
      </c>
      <c r="N25" s="5">
        <f>Inputs!$C$35*(1+Inputs!$C$39)^(N$4-1)*N6</f>
        <v>24379.888399895142</v>
      </c>
      <c r="O25" s="5">
        <f>Inputs!$C$35*(1+Inputs!$C$39)^(O$4-1)*O6</f>
        <v>24867.486167893039</v>
      </c>
      <c r="P25" s="5">
        <f>Inputs!$C$35*(1+Inputs!$C$39)^(P$4-1)*P6</f>
        <v>25364.835891250907</v>
      </c>
      <c r="Q25" s="5">
        <f>Inputs!$C$35*(1+Inputs!$C$39)^(Q$4-1)*Q6</f>
        <v>25872.132609075921</v>
      </c>
      <c r="R25" s="5">
        <f>Inputs!$C$35*(1+Inputs!$C$39)^(R$4-1)*R6</f>
        <v>26389.575261257443</v>
      </c>
      <c r="S25" s="5">
        <f>Inputs!$C$35*(1+Inputs!$C$39)^(S$4-1)*S6</f>
        <v>26917.366766482584</v>
      </c>
      <c r="T25" s="5">
        <f>Inputs!$C$35*(1+Inputs!$C$39)^(T$4-1)*T6</f>
        <v>27455.714101812242</v>
      </c>
      <c r="U25" s="5">
        <f>Inputs!$C$35*(1+Inputs!$C$39)^(U$4-1)*U6</f>
        <v>28004.828383848489</v>
      </c>
      <c r="V25" s="5">
        <f>Inputs!$C$35*(1+Inputs!$C$39)^(V$4-1)*V6</f>
        <v>28564.924951525456</v>
      </c>
      <c r="W25" s="5">
        <f>Inputs!$C$35*(1+Inputs!$C$39)^(W$4-1)*W6</f>
        <v>29136.223450555961</v>
      </c>
      <c r="X25" s="5">
        <f>Inputs!$C$35*(1+Inputs!$C$39)^(X$4-1)*X6</f>
        <v>29718.947919567087</v>
      </c>
      <c r="Y25" s="5">
        <f>Inputs!$C$35*(1+Inputs!$C$39)^(Y$4-1)*Y6</f>
        <v>30313.326877958425</v>
      </c>
      <c r="Z25" s="5">
        <f>Inputs!$C$35*(1+Inputs!$C$39)^(Z$4-1)*Z6</f>
        <v>30919.593415517593</v>
      </c>
      <c r="AA25" s="5">
        <f>Inputs!$C$35*(1+Inputs!$C$39)^(AA$4-1)*AA6</f>
        <v>31537.98528382794</v>
      </c>
      <c r="AB25" s="5">
        <f>Inputs!$C$35*(1+Inputs!$C$39)^(AB$4-1)*AB6</f>
        <v>32168.744989504499</v>
      </c>
    </row>
    <row r="26" spans="1:28" x14ac:dyDescent="0.25">
      <c r="A26" s="4" t="s">
        <v>349</v>
      </c>
      <c r="B26" s="2" t="s">
        <v>225</v>
      </c>
      <c r="D26" s="5">
        <f>Inputs!$C$36*Inputs!$C$7*(1+Inputs!$C$39)^(D$4-1)*D6</f>
        <v>4000</v>
      </c>
      <c r="E26" s="5">
        <f>Inputs!$C$36*Inputs!$C$7*(1+Inputs!$C$39)^(E$4-1)*E6</f>
        <v>4080</v>
      </c>
      <c r="F26" s="5">
        <f>Inputs!$C$36*Inputs!$C$7*(1+Inputs!$C$39)^(F$4-1)*F6</f>
        <v>4161.6000000000004</v>
      </c>
      <c r="G26" s="5">
        <f>Inputs!$C$36*Inputs!$C$7*(1+Inputs!$C$39)^(G$4-1)*G6</f>
        <v>4244.8319999999994</v>
      </c>
      <c r="H26" s="5">
        <f>Inputs!$C$36*Inputs!$C$7*(1+Inputs!$C$39)^(H$4-1)*H6</f>
        <v>4329.7286400000003</v>
      </c>
      <c r="I26" s="5">
        <f>Inputs!$C$36*Inputs!$C$7*(1+Inputs!$C$39)^(I$4-1)*I6</f>
        <v>4416.3232128</v>
      </c>
      <c r="J26" s="5">
        <f>Inputs!$C$36*Inputs!$C$7*(1+Inputs!$C$39)^(J$4-1)*J6</f>
        <v>4504.6496770560007</v>
      </c>
      <c r="K26" s="5">
        <f>Inputs!$C$36*Inputs!$C$7*(1+Inputs!$C$39)^(K$4-1)*K6</f>
        <v>4594.7426705971193</v>
      </c>
      <c r="L26" s="5">
        <f>Inputs!$C$36*Inputs!$C$7*(1+Inputs!$C$39)^(L$4-1)*L6</f>
        <v>4686.637524009062</v>
      </c>
      <c r="M26" s="5">
        <f>Inputs!$C$36*Inputs!$C$7*(1+Inputs!$C$39)^(M$4-1)*M6</f>
        <v>4780.3702744892435</v>
      </c>
      <c r="N26" s="5">
        <f>Inputs!$C$36*Inputs!$C$7*(1+Inputs!$C$39)^(N$4-1)*N6</f>
        <v>4875.9776799790288</v>
      </c>
      <c r="O26" s="5">
        <f>Inputs!$C$36*Inputs!$C$7*(1+Inputs!$C$39)^(O$4-1)*O6</f>
        <v>4973.4972335786078</v>
      </c>
      <c r="P26" s="5">
        <f>Inputs!$C$36*Inputs!$C$7*(1+Inputs!$C$39)^(P$4-1)*P6</f>
        <v>5072.967178250181</v>
      </c>
      <c r="Q26" s="5">
        <f>Inputs!$C$36*Inputs!$C$7*(1+Inputs!$C$39)^(Q$4-1)*Q6</f>
        <v>5174.4265218151841</v>
      </c>
      <c r="R26" s="5">
        <f>Inputs!$C$36*Inputs!$C$7*(1+Inputs!$C$39)^(R$4-1)*R6</f>
        <v>5277.9150522514883</v>
      </c>
      <c r="S26" s="5">
        <f>Inputs!$C$36*Inputs!$C$7*(1+Inputs!$C$39)^(S$4-1)*S6</f>
        <v>5383.4733532965165</v>
      </c>
      <c r="T26" s="5">
        <f>Inputs!$C$36*Inputs!$C$7*(1+Inputs!$C$39)^(T$4-1)*T6</f>
        <v>5491.1428203624482</v>
      </c>
      <c r="U26" s="5">
        <f>Inputs!$C$36*Inputs!$C$7*(1+Inputs!$C$39)^(U$4-1)*U6</f>
        <v>5600.9656767696979</v>
      </c>
      <c r="V26" s="5">
        <f>Inputs!$C$36*Inputs!$C$7*(1+Inputs!$C$39)^(V$4-1)*V6</f>
        <v>5712.9849903050908</v>
      </c>
      <c r="W26" s="5">
        <f>Inputs!$C$36*Inputs!$C$7*(1+Inputs!$C$39)^(W$4-1)*W6</f>
        <v>5827.2446901111925</v>
      </c>
      <c r="X26" s="5">
        <f>Inputs!$C$36*Inputs!$C$7*(1+Inputs!$C$39)^(X$4-1)*X6</f>
        <v>5943.7895839134171</v>
      </c>
      <c r="Y26" s="5">
        <f>Inputs!$C$36*Inputs!$C$7*(1+Inputs!$C$39)^(Y$4-1)*Y6</f>
        <v>6062.665375591685</v>
      </c>
      <c r="Z26" s="5">
        <f>Inputs!$C$36*Inputs!$C$7*(1+Inputs!$C$39)^(Z$4-1)*Z6</f>
        <v>6183.9186831035186</v>
      </c>
      <c r="AA26" s="5">
        <f>Inputs!$C$36*Inputs!$C$7*(1+Inputs!$C$39)^(AA$4-1)*AA6</f>
        <v>6307.5970567655877</v>
      </c>
      <c r="AB26" s="5">
        <f>Inputs!$C$36*Inputs!$C$7*(1+Inputs!$C$39)^(AB$4-1)*AB6</f>
        <v>6433.7489979009006</v>
      </c>
    </row>
    <row r="27" spans="1:28" x14ac:dyDescent="0.25">
      <c r="A27" s="4" t="s">
        <v>195</v>
      </c>
      <c r="B27" s="2" t="s">
        <v>225</v>
      </c>
      <c r="D27" s="5">
        <f>Inputs!$C$71*Inputs!$C$37*(1+Inputs!$C$39)^(D$4-1)*D6</f>
        <v>24000</v>
      </c>
      <c r="E27" s="5">
        <f>Inputs!$C$71*Inputs!$C$37*(1+Inputs!$C$39)^(E$4-1)*E6</f>
        <v>24480</v>
      </c>
      <c r="F27" s="5">
        <f>Inputs!$C$71*Inputs!$C$37*(1+Inputs!$C$39)^(F$4-1)*F6</f>
        <v>24969.599999999999</v>
      </c>
      <c r="G27" s="5">
        <f>Inputs!$C$71*Inputs!$C$37*(1+Inputs!$C$39)^(G$4-1)*G6</f>
        <v>25468.991999999998</v>
      </c>
      <c r="H27" s="5">
        <f>Inputs!$C$71*Inputs!$C$37*(1+Inputs!$C$39)^(H$4-1)*H6</f>
        <v>25978.37184</v>
      </c>
      <c r="I27" s="5">
        <f>Inputs!$C$71*Inputs!$C$37*(1+Inputs!$C$39)^(I$4-1)*I6</f>
        <v>26497.9392768</v>
      </c>
      <c r="J27" s="5">
        <f>Inputs!$C$71*Inputs!$C$37*(1+Inputs!$C$39)^(J$4-1)*J6</f>
        <v>27027.898062336</v>
      </c>
      <c r="K27" s="5">
        <f>Inputs!$C$71*Inputs!$C$37*(1+Inputs!$C$39)^(K$4-1)*K6</f>
        <v>27568.456023582716</v>
      </c>
      <c r="L27" s="5">
        <f>Inputs!$C$71*Inputs!$C$37*(1+Inputs!$C$39)^(L$4-1)*L6</f>
        <v>28119.825144054372</v>
      </c>
      <c r="M27" s="5">
        <f>Inputs!$C$71*Inputs!$C$37*(1+Inputs!$C$39)^(M$4-1)*M6</f>
        <v>28682.221646935461</v>
      </c>
      <c r="N27" s="5">
        <f>Inputs!$C$71*Inputs!$C$37*(1+Inputs!$C$39)^(N$4-1)*N6</f>
        <v>29255.866079874169</v>
      </c>
      <c r="O27" s="5">
        <f>Inputs!$C$71*Inputs!$C$37*(1+Inputs!$C$39)^(O$4-1)*O6</f>
        <v>29840.983401471647</v>
      </c>
      <c r="P27" s="5">
        <f>Inputs!$C$71*Inputs!$C$37*(1+Inputs!$C$39)^(P$4-1)*P6</f>
        <v>30437.803069501086</v>
      </c>
      <c r="Q27" s="5">
        <f>Inputs!$C$71*Inputs!$C$37*(1+Inputs!$C$39)^(Q$4-1)*Q6</f>
        <v>31046.559130891106</v>
      </c>
      <c r="R27" s="5">
        <f>Inputs!$C$71*Inputs!$C$37*(1+Inputs!$C$39)^(R$4-1)*R6</f>
        <v>31667.49031350893</v>
      </c>
      <c r="S27" s="5">
        <f>Inputs!$C$71*Inputs!$C$37*(1+Inputs!$C$39)^(S$4-1)*S6</f>
        <v>32300.840119779103</v>
      </c>
      <c r="T27" s="5">
        <f>Inputs!$C$71*Inputs!$C$37*(1+Inputs!$C$39)^(T$4-1)*T6</f>
        <v>32946.856922174687</v>
      </c>
      <c r="U27" s="5">
        <f>Inputs!$C$71*Inputs!$C$37*(1+Inputs!$C$39)^(U$4-1)*U6</f>
        <v>33605.794060618187</v>
      </c>
      <c r="V27" s="5">
        <f>Inputs!$C$71*Inputs!$C$37*(1+Inputs!$C$39)^(V$4-1)*V6</f>
        <v>34277.909941830549</v>
      </c>
      <c r="W27" s="5">
        <f>Inputs!$C$71*Inputs!$C$37*(1+Inputs!$C$39)^(W$4-1)*W6</f>
        <v>34963.468140667152</v>
      </c>
      <c r="X27" s="5">
        <f>Inputs!$C$71*Inputs!$C$37*(1+Inputs!$C$39)^(X$4-1)*X6</f>
        <v>35662.737503480501</v>
      </c>
      <c r="Y27" s="5">
        <f>Inputs!$C$71*Inputs!$C$37*(1+Inputs!$C$39)^(Y$4-1)*Y6</f>
        <v>36375.99225355011</v>
      </c>
      <c r="Z27" s="5">
        <f>Inputs!$C$71*Inputs!$C$37*(1+Inputs!$C$39)^(Z$4-1)*Z6</f>
        <v>37103.512098621111</v>
      </c>
      <c r="AA27" s="5">
        <f>Inputs!$C$71*Inputs!$C$37*(1+Inputs!$C$39)^(AA$4-1)*AA6</f>
        <v>37845.58234059353</v>
      </c>
      <c r="AB27" s="5">
        <f>Inputs!$C$71*Inputs!$C$37*(1+Inputs!$C$39)^(AB$4-1)*AB6</f>
        <v>38602.493987405403</v>
      </c>
    </row>
    <row r="28" spans="1:28" x14ac:dyDescent="0.25">
      <c r="A28" s="4" t="s">
        <v>350</v>
      </c>
      <c r="B28" s="2" t="s">
        <v>225</v>
      </c>
      <c r="D28" s="5">
        <f>Inputs!$C$38*(1+Inputs!$C$39)^(D$4-1)*D6*IF(D$4&lt;=Inputs!$C$51,1,0)</f>
        <v>20000</v>
      </c>
      <c r="E28" s="5">
        <f>Inputs!$C$38*(1+Inputs!$C$39)^(E$4-1)*E6*IF(E$4&lt;=Inputs!$C$51,1,0)</f>
        <v>20400</v>
      </c>
      <c r="F28" s="5">
        <f>Inputs!$C$38*(1+Inputs!$C$39)^(F$4-1)*F6*IF(F$4&lt;=Inputs!$C$51,1,0)</f>
        <v>20808</v>
      </c>
      <c r="G28" s="5">
        <f>Inputs!$C$38*(1+Inputs!$C$39)^(G$4-1)*G6*IF(G$4&lt;=Inputs!$C$51,1,0)</f>
        <v>21224.16</v>
      </c>
      <c r="H28" s="5">
        <f>Inputs!$C$38*(1+Inputs!$C$39)^(H$4-1)*H6*IF(H$4&lt;=Inputs!$C$51,1,0)</f>
        <v>21648.643199999999</v>
      </c>
      <c r="I28" s="5">
        <f>Inputs!$C$38*(1+Inputs!$C$39)^(I$4-1)*I6*IF(I$4&lt;=Inputs!$C$51,1,0)</f>
        <v>22081.616064000002</v>
      </c>
      <c r="J28" s="5">
        <f>Inputs!$C$38*(1+Inputs!$C$39)^(J$4-1)*J6*IF(J$4&lt;=Inputs!$C$51,1,0)</f>
        <v>22523.24838528</v>
      </c>
      <c r="K28" s="5">
        <f>Inputs!$C$38*(1+Inputs!$C$39)^(K$4-1)*K6*IF(K$4&lt;=Inputs!$C$51,1,0)</f>
        <v>22973.713352985596</v>
      </c>
      <c r="L28" s="5">
        <f>Inputs!$C$38*(1+Inputs!$C$39)^(L$4-1)*L6*IF(L$4&lt;=Inputs!$C$51,1,0)</f>
        <v>23433.187620045312</v>
      </c>
      <c r="M28" s="5">
        <f>Inputs!$C$38*(1+Inputs!$C$39)^(M$4-1)*M6*IF(M$4&lt;=Inputs!$C$51,1,0)</f>
        <v>23901.851372446217</v>
      </c>
      <c r="N28" s="5">
        <f>Inputs!$C$38*(1+Inputs!$C$39)^(N$4-1)*N6*IF(N$4&lt;=Inputs!$C$51,1,0)</f>
        <v>24379.888399895142</v>
      </c>
      <c r="O28" s="5">
        <f>Inputs!$C$38*(1+Inputs!$C$39)^(O$4-1)*O6*IF(O$4&lt;=Inputs!$C$51,1,0)</f>
        <v>24867.486167893039</v>
      </c>
      <c r="P28" s="5">
        <f>Inputs!$C$38*(1+Inputs!$C$39)^(P$4-1)*P6*IF(P$4&lt;=Inputs!$C$51,1,0)</f>
        <v>25364.835891250907</v>
      </c>
      <c r="Q28" s="5">
        <f>Inputs!$C$38*(1+Inputs!$C$39)^(Q$4-1)*Q6*IF(Q$4&lt;=Inputs!$C$51,1,0)</f>
        <v>25872.132609075921</v>
      </c>
      <c r="R28" s="5">
        <f>Inputs!$C$38*(1+Inputs!$C$39)^(R$4-1)*R6*IF(R$4&lt;=Inputs!$C$51,1,0)</f>
        <v>26389.575261257443</v>
      </c>
      <c r="S28" s="5">
        <f>Inputs!$C$38*(1+Inputs!$C$39)^(S$4-1)*S6*IF(S$4&lt;=Inputs!$C$51,1,0)</f>
        <v>0</v>
      </c>
      <c r="T28" s="5">
        <f>Inputs!$C$38*(1+Inputs!$C$39)^(T$4-1)*T6*IF(T$4&lt;=Inputs!$C$51,1,0)</f>
        <v>0</v>
      </c>
      <c r="U28" s="5">
        <f>Inputs!$C$38*(1+Inputs!$C$39)^(U$4-1)*U6*IF(U$4&lt;=Inputs!$C$51,1,0)</f>
        <v>0</v>
      </c>
      <c r="V28" s="5">
        <f>Inputs!$C$38*(1+Inputs!$C$39)^(V$4-1)*V6*IF(V$4&lt;=Inputs!$C$51,1,0)</f>
        <v>0</v>
      </c>
      <c r="W28" s="5">
        <f>Inputs!$C$38*(1+Inputs!$C$39)^(W$4-1)*W6*IF(W$4&lt;=Inputs!$C$51,1,0)</f>
        <v>0</v>
      </c>
      <c r="X28" s="5">
        <f>Inputs!$C$38*(1+Inputs!$C$39)^(X$4-1)*X6*IF(X$4&lt;=Inputs!$C$51,1,0)</f>
        <v>0</v>
      </c>
      <c r="Y28" s="5">
        <f>Inputs!$C$38*(1+Inputs!$C$39)^(Y$4-1)*Y6*IF(Y$4&lt;=Inputs!$C$51,1,0)</f>
        <v>0</v>
      </c>
      <c r="Z28" s="5">
        <f>Inputs!$C$38*(1+Inputs!$C$39)^(Z$4-1)*Z6*IF(Z$4&lt;=Inputs!$C$51,1,0)</f>
        <v>0</v>
      </c>
      <c r="AA28" s="5">
        <f>Inputs!$C$38*(1+Inputs!$C$39)^(AA$4-1)*AA6*IF(AA$4&lt;=Inputs!$C$51,1,0)</f>
        <v>0</v>
      </c>
      <c r="AB28" s="5">
        <f>Inputs!$C$38*(1+Inputs!$C$39)^(AB$4-1)*AB6*IF(AB$4&lt;=Inputs!$C$51,1,0)</f>
        <v>0</v>
      </c>
    </row>
    <row r="29" spans="1:28" x14ac:dyDescent="0.25">
      <c r="A29" s="3" t="s">
        <v>351</v>
      </c>
      <c r="B29" s="2" t="s">
        <v>225</v>
      </c>
      <c r="D29" s="25">
        <f t="shared" ref="D29:AB29" si="4">SUM(D22:D28)</f>
        <v>167000</v>
      </c>
      <c r="E29" s="25">
        <f t="shared" si="4"/>
        <v>170340</v>
      </c>
      <c r="F29" s="25">
        <f t="shared" si="4"/>
        <v>173746.80000000002</v>
      </c>
      <c r="G29" s="25">
        <f t="shared" si="4"/>
        <v>177221.736</v>
      </c>
      <c r="H29" s="25">
        <f t="shared" si="4"/>
        <v>180766.17071999997</v>
      </c>
      <c r="I29" s="25">
        <f t="shared" si="4"/>
        <v>184381.49413439998</v>
      </c>
      <c r="J29" s="25">
        <f t="shared" si="4"/>
        <v>188069.124017088</v>
      </c>
      <c r="K29" s="25">
        <f t="shared" si="4"/>
        <v>191830.50649742974</v>
      </c>
      <c r="L29" s="25">
        <f t="shared" si="4"/>
        <v>195667.11662737833</v>
      </c>
      <c r="M29" s="25">
        <f t="shared" si="4"/>
        <v>199580.45895992592</v>
      </c>
      <c r="N29" s="25">
        <f t="shared" si="4"/>
        <v>203572.0681391244</v>
      </c>
      <c r="O29" s="25">
        <f t="shared" si="4"/>
        <v>207643.50950190693</v>
      </c>
      <c r="P29" s="25">
        <f t="shared" si="4"/>
        <v>211796.37969194504</v>
      </c>
      <c r="Q29" s="25">
        <f t="shared" si="4"/>
        <v>216032.30728578396</v>
      </c>
      <c r="R29" s="25">
        <f t="shared" si="4"/>
        <v>220352.95343149963</v>
      </c>
      <c r="S29" s="25">
        <f t="shared" si="4"/>
        <v>197842.64573364702</v>
      </c>
      <c r="T29" s="25">
        <f t="shared" si="4"/>
        <v>201799.49864831998</v>
      </c>
      <c r="U29" s="25">
        <f t="shared" si="4"/>
        <v>205835.48862128638</v>
      </c>
      <c r="V29" s="25">
        <f t="shared" si="4"/>
        <v>209952.19839371211</v>
      </c>
      <c r="W29" s="25">
        <f t="shared" si="4"/>
        <v>214151.24236158634</v>
      </c>
      <c r="X29" s="25">
        <f t="shared" si="4"/>
        <v>218434.26720881811</v>
      </c>
      <c r="Y29" s="25">
        <f t="shared" si="4"/>
        <v>222802.95255299442</v>
      </c>
      <c r="Z29" s="25">
        <f t="shared" si="4"/>
        <v>227259.01160405431</v>
      </c>
      <c r="AA29" s="25">
        <f t="shared" si="4"/>
        <v>231804.19183613537</v>
      </c>
      <c r="AB29" s="25">
        <f t="shared" si="4"/>
        <v>236440.27567285806</v>
      </c>
    </row>
    <row r="30" spans="1:28" x14ac:dyDescent="0.25">
      <c r="A30" s="3" t="s">
        <v>352</v>
      </c>
      <c r="B30" s="2" t="s">
        <v>225</v>
      </c>
      <c r="D30" s="25">
        <f t="shared" ref="D30:AB30" si="5">D20-D29</f>
        <v>365224</v>
      </c>
      <c r="E30" s="25">
        <f t="shared" si="5"/>
        <v>364310.60879999993</v>
      </c>
      <c r="F30" s="25">
        <f t="shared" si="5"/>
        <v>363347.86197340791</v>
      </c>
      <c r="G30" s="25">
        <f t="shared" si="5"/>
        <v>362334.51556154958</v>
      </c>
      <c r="H30" s="25">
        <f t="shared" si="5"/>
        <v>263932.42672099464</v>
      </c>
      <c r="I30" s="25">
        <f t="shared" si="5"/>
        <v>258538.30891683069</v>
      </c>
      <c r="J30" s="25">
        <f t="shared" si="5"/>
        <v>253078.99982193773</v>
      </c>
      <c r="K30" s="25">
        <f t="shared" si="5"/>
        <v>247553.02484623989</v>
      </c>
      <c r="L30" s="25">
        <f t="shared" si="5"/>
        <v>241958.88059091667</v>
      </c>
      <c r="M30" s="25">
        <f t="shared" si="5"/>
        <v>236295.03426949593</v>
      </c>
      <c r="N30" s="25">
        <f t="shared" si="5"/>
        <v>230559.92311737975</v>
      </c>
      <c r="O30" s="25">
        <f t="shared" si="5"/>
        <v>224751.95378957118</v>
      </c>
      <c r="P30" s="25">
        <f t="shared" si="5"/>
        <v>218869.50174636714</v>
      </c>
      <c r="Q30" s="25">
        <f t="shared" si="5"/>
        <v>212910.91062677509</v>
      </c>
      <c r="R30" s="25">
        <f t="shared" si="5"/>
        <v>206874.49160940913</v>
      </c>
      <c r="S30" s="25">
        <f t="shared" si="5"/>
        <v>37080.502224963449</v>
      </c>
      <c r="T30" s="25">
        <f t="shared" si="5"/>
        <v>32183.956718456087</v>
      </c>
      <c r="U30" s="25">
        <f t="shared" si="5"/>
        <v>27212.032924022555</v>
      </c>
      <c r="V30" s="25">
        <f t="shared" si="5"/>
        <v>22163.133065415634</v>
      </c>
      <c r="W30" s="25">
        <f t="shared" si="5"/>
        <v>17035.627771704865</v>
      </c>
      <c r="X30" s="25">
        <f t="shared" si="5"/>
        <v>11827.855443939945</v>
      </c>
      <c r="Y30" s="25">
        <f t="shared" si="5"/>
        <v>6538.1216091525857</v>
      </c>
      <c r="Z30" s="25">
        <f t="shared" si="5"/>
        <v>1164.6982614441658</v>
      </c>
      <c r="AA30" s="25">
        <f t="shared" si="5"/>
        <v>-4294.1768100989284</v>
      </c>
      <c r="AB30" s="25">
        <f t="shared" si="5"/>
        <v>-9840.3007069257728</v>
      </c>
    </row>
    <row r="31" spans="1:28" x14ac:dyDescent="0.25">
      <c r="A31" s="31" t="s">
        <v>353</v>
      </c>
    </row>
    <row r="32" spans="1:28" x14ac:dyDescent="0.25">
      <c r="A32" s="4" t="s">
        <v>354</v>
      </c>
      <c r="B32" s="2" t="s">
        <v>225</v>
      </c>
      <c r="D32" s="5">
        <f>Inputs!$C$71*Inputs!$C$13/Inputs!$C$42*IF(D$4&lt;=Inputs!$C$42,1,0)*D6</f>
        <v>240000</v>
      </c>
      <c r="E32" s="5">
        <f>Inputs!$C$71*Inputs!$C$13/Inputs!$C$42*IF(E$4&lt;=Inputs!$C$42,1,0)*E6</f>
        <v>240000</v>
      </c>
      <c r="F32" s="5">
        <f>Inputs!$C$71*Inputs!$C$13/Inputs!$C$42*IF(F$4&lt;=Inputs!$C$42,1,0)*F6</f>
        <v>240000</v>
      </c>
      <c r="G32" s="5">
        <f>Inputs!$C$71*Inputs!$C$13/Inputs!$C$42*IF(G$4&lt;=Inputs!$C$42,1,0)*G6</f>
        <v>240000</v>
      </c>
      <c r="H32" s="5">
        <f>Inputs!$C$71*Inputs!$C$13/Inputs!$C$42*IF(H$4&lt;=Inputs!$C$42,1,0)*H6</f>
        <v>240000</v>
      </c>
      <c r="I32" s="5">
        <f>Inputs!$C$71*Inputs!$C$13/Inputs!$C$42*IF(I$4&lt;=Inputs!$C$42,1,0)*I6</f>
        <v>240000</v>
      </c>
      <c r="J32" s="5">
        <f>Inputs!$C$71*Inputs!$C$13/Inputs!$C$42*IF(J$4&lt;=Inputs!$C$42,1,0)*J6</f>
        <v>240000</v>
      </c>
      <c r="K32" s="5">
        <f>Inputs!$C$71*Inputs!$C$13/Inputs!$C$42*IF(K$4&lt;=Inputs!$C$42,1,0)*K6</f>
        <v>240000</v>
      </c>
      <c r="L32" s="5">
        <f>Inputs!$C$71*Inputs!$C$13/Inputs!$C$42*IF(L$4&lt;=Inputs!$C$42,1,0)*L6</f>
        <v>240000</v>
      </c>
      <c r="M32" s="5">
        <f>Inputs!$C$71*Inputs!$C$13/Inputs!$C$42*IF(M$4&lt;=Inputs!$C$42,1,0)*M6</f>
        <v>240000</v>
      </c>
      <c r="N32" s="5">
        <f>Inputs!$C$71*Inputs!$C$13/Inputs!$C$42*IF(N$4&lt;=Inputs!$C$42,1,0)*N6</f>
        <v>240000</v>
      </c>
      <c r="O32" s="5">
        <f>Inputs!$C$71*Inputs!$C$13/Inputs!$C$42*IF(O$4&lt;=Inputs!$C$42,1,0)*O6</f>
        <v>240000</v>
      </c>
      <c r="P32" s="5">
        <f>Inputs!$C$71*Inputs!$C$13/Inputs!$C$42*IF(P$4&lt;=Inputs!$C$42,1,0)*P6</f>
        <v>240000</v>
      </c>
      <c r="Q32" s="5">
        <f>Inputs!$C$71*Inputs!$C$13/Inputs!$C$42*IF(Q$4&lt;=Inputs!$C$42,1,0)*Q6</f>
        <v>240000</v>
      </c>
      <c r="R32" s="5">
        <f>Inputs!$C$71*Inputs!$C$13/Inputs!$C$42*IF(R$4&lt;=Inputs!$C$42,1,0)*R6</f>
        <v>240000</v>
      </c>
      <c r="S32" s="5">
        <f>Inputs!$C$71*Inputs!$C$13/Inputs!$C$42*IF(S$4&lt;=Inputs!$C$42,1,0)*S6</f>
        <v>240000</v>
      </c>
      <c r="T32" s="5">
        <f>Inputs!$C$71*Inputs!$C$13/Inputs!$C$42*IF(T$4&lt;=Inputs!$C$42,1,0)*T6</f>
        <v>240000</v>
      </c>
      <c r="U32" s="5">
        <f>Inputs!$C$71*Inputs!$C$13/Inputs!$C$42*IF(U$4&lt;=Inputs!$C$42,1,0)*U6</f>
        <v>240000</v>
      </c>
      <c r="V32" s="5">
        <f>Inputs!$C$71*Inputs!$C$13/Inputs!$C$42*IF(V$4&lt;=Inputs!$C$42,1,0)*V6</f>
        <v>240000</v>
      </c>
      <c r="W32" s="5">
        <f>Inputs!$C$71*Inputs!$C$13/Inputs!$C$42*IF(W$4&lt;=Inputs!$C$42,1,0)*W6</f>
        <v>240000</v>
      </c>
      <c r="X32" s="5">
        <f>Inputs!$C$71*Inputs!$C$13/Inputs!$C$42*IF(X$4&lt;=Inputs!$C$42,1,0)*X6</f>
        <v>0</v>
      </c>
      <c r="Y32" s="5">
        <f>Inputs!$C$71*Inputs!$C$13/Inputs!$C$42*IF(Y$4&lt;=Inputs!$C$42,1,0)*Y6</f>
        <v>0</v>
      </c>
      <c r="Z32" s="5">
        <f>Inputs!$C$71*Inputs!$C$13/Inputs!$C$42*IF(Z$4&lt;=Inputs!$C$42,1,0)*Z6</f>
        <v>0</v>
      </c>
      <c r="AA32" s="5">
        <f>Inputs!$C$71*Inputs!$C$13/Inputs!$C$42*IF(AA$4&lt;=Inputs!$C$42,1,0)*AA6</f>
        <v>0</v>
      </c>
      <c r="AB32" s="5">
        <f>Inputs!$C$71*Inputs!$C$13/Inputs!$C$42*IF(AB$4&lt;=Inputs!$C$42,1,0)*AB6</f>
        <v>0</v>
      </c>
    </row>
    <row r="33" spans="1:28" x14ac:dyDescent="0.25">
      <c r="A33" s="4" t="s">
        <v>355</v>
      </c>
      <c r="B33" s="2" t="s">
        <v>225</v>
      </c>
      <c r="D33" s="5">
        <f>MAX(0,(D30-D32)*Inputs!$C$41)</f>
        <v>29890.968799999999</v>
      </c>
      <c r="E33" s="5">
        <f>MAX(0,(E30-E32)*Inputs!$C$41)</f>
        <v>29672.942320559981</v>
      </c>
      <c r="F33" s="5">
        <f>MAX(0,(F30-F32)*Inputs!$C$41)</f>
        <v>29443.134653052468</v>
      </c>
      <c r="G33" s="5">
        <f>MAX(0,(G30-G32)*Inputs!$C$41)</f>
        <v>29201.248864541882</v>
      </c>
      <c r="H33" s="5">
        <f>MAX(0,(H30-H32)*Inputs!$C$41)</f>
        <v>5712.6702583014203</v>
      </c>
      <c r="I33" s="5">
        <f>MAX(0,(I30-I32)*Inputs!$C$41)</f>
        <v>4425.0943384474858</v>
      </c>
      <c r="J33" s="5">
        <f>MAX(0,(J30-J32)*Inputs!$C$41)</f>
        <v>3121.9572574965364</v>
      </c>
      <c r="K33" s="5">
        <f>MAX(0,(K30-K32)*Inputs!$C$41)</f>
        <v>1802.9070307974614</v>
      </c>
      <c r="L33" s="5">
        <f>MAX(0,(L30-L32)*Inputs!$C$41)</f>
        <v>467.58479705180901</v>
      </c>
      <c r="M33" s="5">
        <f>MAX(0,(M30-M32)*Inputs!$C$41)</f>
        <v>0</v>
      </c>
      <c r="N33" s="5">
        <f>MAX(0,(N30-N32)*Inputs!$C$41)</f>
        <v>0</v>
      </c>
      <c r="O33" s="5">
        <f>MAX(0,(O30-O32)*Inputs!$C$41)</f>
        <v>0</v>
      </c>
      <c r="P33" s="5">
        <f>MAX(0,(P30-P32)*Inputs!$C$41)</f>
        <v>0</v>
      </c>
      <c r="Q33" s="5">
        <f>MAX(0,(Q30-Q32)*Inputs!$C$41)</f>
        <v>0</v>
      </c>
      <c r="R33" s="5">
        <f>MAX(0,(R30-R32)*Inputs!$C$41)</f>
        <v>0</v>
      </c>
      <c r="S33" s="5">
        <f>MAX(0,(S30-S32)*Inputs!$C$41)</f>
        <v>0</v>
      </c>
      <c r="T33" s="5">
        <f>MAX(0,(T30-T32)*Inputs!$C$41)</f>
        <v>0</v>
      </c>
      <c r="U33" s="5">
        <f>MAX(0,(U30-U32)*Inputs!$C$41)</f>
        <v>0</v>
      </c>
      <c r="V33" s="5">
        <f>MAX(0,(V30-V32)*Inputs!$C$41)</f>
        <v>0</v>
      </c>
      <c r="W33" s="5">
        <f>MAX(0,(W30-W32)*Inputs!$C$41)</f>
        <v>0</v>
      </c>
      <c r="X33" s="5">
        <f>MAX(0,(X30-X32)*Inputs!$C$41)</f>
        <v>2823.309094468465</v>
      </c>
      <c r="Y33" s="5">
        <f>MAX(0,(Y30-Y32)*Inputs!$C$41)</f>
        <v>1560.6496281047223</v>
      </c>
      <c r="Z33" s="5">
        <f>MAX(0,(Z30-Z32)*Inputs!$C$41)</f>
        <v>278.01347500672239</v>
      </c>
      <c r="AA33" s="5">
        <f>MAX(0,(AA30-AA32)*Inputs!$C$41)</f>
        <v>0</v>
      </c>
      <c r="AB33" s="5">
        <f>MAX(0,(AB30-AB32)*Inputs!$C$41)</f>
        <v>0</v>
      </c>
    </row>
    <row r="34" spans="1:28" x14ac:dyDescent="0.25">
      <c r="A34" s="4" t="s">
        <v>356</v>
      </c>
      <c r="B34" s="2" t="s">
        <v>225</v>
      </c>
      <c r="D34" s="5">
        <f>Inputs!$C$71*Inputs!$C$13</f>
        <v>4800000</v>
      </c>
      <c r="E34" s="5">
        <f t="shared" ref="E34:AB34" si="6">MAX(0,D34-D32)</f>
        <v>4560000</v>
      </c>
      <c r="F34" s="5">
        <f t="shared" si="6"/>
        <v>4320000</v>
      </c>
      <c r="G34" s="5">
        <f t="shared" si="6"/>
        <v>4080000</v>
      </c>
      <c r="H34" s="5">
        <f t="shared" si="6"/>
        <v>3840000</v>
      </c>
      <c r="I34" s="5">
        <f t="shared" si="6"/>
        <v>3600000</v>
      </c>
      <c r="J34" s="5">
        <f t="shared" si="6"/>
        <v>3360000</v>
      </c>
      <c r="K34" s="5">
        <f t="shared" si="6"/>
        <v>3120000</v>
      </c>
      <c r="L34" s="5">
        <f t="shared" si="6"/>
        <v>2880000</v>
      </c>
      <c r="M34" s="5">
        <f t="shared" si="6"/>
        <v>2640000</v>
      </c>
      <c r="N34" s="5">
        <f t="shared" si="6"/>
        <v>2400000</v>
      </c>
      <c r="O34" s="5">
        <f t="shared" si="6"/>
        <v>2160000</v>
      </c>
      <c r="P34" s="5">
        <f t="shared" si="6"/>
        <v>1920000</v>
      </c>
      <c r="Q34" s="5">
        <f t="shared" si="6"/>
        <v>1680000</v>
      </c>
      <c r="R34" s="5">
        <f t="shared" si="6"/>
        <v>1440000</v>
      </c>
      <c r="S34" s="5">
        <f t="shared" si="6"/>
        <v>1200000</v>
      </c>
      <c r="T34" s="5">
        <f t="shared" si="6"/>
        <v>960000</v>
      </c>
      <c r="U34" s="5">
        <f t="shared" si="6"/>
        <v>720000</v>
      </c>
      <c r="V34" s="5">
        <f t="shared" si="6"/>
        <v>480000</v>
      </c>
      <c r="W34" s="5">
        <f t="shared" si="6"/>
        <v>240000</v>
      </c>
      <c r="X34" s="5">
        <f t="shared" si="6"/>
        <v>0</v>
      </c>
      <c r="Y34" s="5">
        <f t="shared" si="6"/>
        <v>0</v>
      </c>
      <c r="Z34" s="5">
        <f t="shared" si="6"/>
        <v>0</v>
      </c>
      <c r="AA34" s="5">
        <f t="shared" si="6"/>
        <v>0</v>
      </c>
      <c r="AB34" s="5">
        <f t="shared" si="6"/>
        <v>0</v>
      </c>
    </row>
    <row r="35" spans="1:28" x14ac:dyDescent="0.25">
      <c r="A35" s="4" t="s">
        <v>357</v>
      </c>
      <c r="B35" s="2" t="s">
        <v>225</v>
      </c>
      <c r="D35" s="5">
        <f>D6*MAX(IF(D34&gt;Inputs!$C$48,Inputs!$C$46,IF(D34&gt;Inputs!$C$47,Inputs!$C$45,Inputs!$C$44)),Inputs!$C$43*D34)</f>
        <v>24000</v>
      </c>
      <c r="E35" s="5">
        <f>E6*MAX(IF(E34&gt;Inputs!$C$48,Inputs!$C$46,IF(E34&gt;Inputs!$C$47,Inputs!$C$45,Inputs!$C$44)),Inputs!$C$43*E34)</f>
        <v>22800</v>
      </c>
      <c r="F35" s="5">
        <f>F6*MAX(IF(F34&gt;Inputs!$C$48,Inputs!$C$46,IF(F34&gt;Inputs!$C$47,Inputs!$C$45,Inputs!$C$44)),Inputs!$C$43*F34)</f>
        <v>21600</v>
      </c>
      <c r="G35" s="5">
        <f>G6*MAX(IF(G34&gt;Inputs!$C$48,Inputs!$C$46,IF(G34&gt;Inputs!$C$47,Inputs!$C$45,Inputs!$C$44)),Inputs!$C$43*G34)</f>
        <v>20400</v>
      </c>
      <c r="H35" s="5">
        <f>H6*MAX(IF(H34&gt;Inputs!$C$48,Inputs!$C$46,IF(H34&gt;Inputs!$C$47,Inputs!$C$45,Inputs!$C$44)),Inputs!$C$43*H34)</f>
        <v>19200</v>
      </c>
      <c r="I35" s="5">
        <f>I6*MAX(IF(I34&gt;Inputs!$C$48,Inputs!$C$46,IF(I34&gt;Inputs!$C$47,Inputs!$C$45,Inputs!$C$44)),Inputs!$C$43*I34)</f>
        <v>18000</v>
      </c>
      <c r="J35" s="5">
        <f>J6*MAX(IF(J34&gt;Inputs!$C$48,Inputs!$C$46,IF(J34&gt;Inputs!$C$47,Inputs!$C$45,Inputs!$C$44)),Inputs!$C$43*J34)</f>
        <v>16800</v>
      </c>
      <c r="K35" s="5">
        <f>K6*MAX(IF(K34&gt;Inputs!$C$48,Inputs!$C$46,IF(K34&gt;Inputs!$C$47,Inputs!$C$45,Inputs!$C$44)),Inputs!$C$43*K34)</f>
        <v>15600</v>
      </c>
      <c r="L35" s="5">
        <f>L6*MAX(IF(L34&gt;Inputs!$C$48,Inputs!$C$46,IF(L34&gt;Inputs!$C$47,Inputs!$C$45,Inputs!$C$44)),Inputs!$C$43*L34)</f>
        <v>14400</v>
      </c>
      <c r="M35" s="5">
        <f>M6*MAX(IF(M34&gt;Inputs!$C$48,Inputs!$C$46,IF(M34&gt;Inputs!$C$47,Inputs!$C$45,Inputs!$C$44)),Inputs!$C$43*M34)</f>
        <v>13200</v>
      </c>
      <c r="N35" s="5">
        <f>N6*MAX(IF(N34&gt;Inputs!$C$48,Inputs!$C$46,IF(N34&gt;Inputs!$C$47,Inputs!$C$45,Inputs!$C$44)),Inputs!$C$43*N34)</f>
        <v>12000</v>
      </c>
      <c r="O35" s="5">
        <f>O6*MAX(IF(O34&gt;Inputs!$C$48,Inputs!$C$46,IF(O34&gt;Inputs!$C$47,Inputs!$C$45,Inputs!$C$44)),Inputs!$C$43*O34)</f>
        <v>10800</v>
      </c>
      <c r="P35" s="5">
        <f>P6*MAX(IF(P34&gt;Inputs!$C$48,Inputs!$C$46,IF(P34&gt;Inputs!$C$47,Inputs!$C$45,Inputs!$C$44)),Inputs!$C$43*P34)</f>
        <v>9600</v>
      </c>
      <c r="Q35" s="5">
        <f>Q6*MAX(IF(Q34&gt;Inputs!$C$48,Inputs!$C$46,IF(Q34&gt;Inputs!$C$47,Inputs!$C$45,Inputs!$C$44)),Inputs!$C$43*Q34)</f>
        <v>8400</v>
      </c>
      <c r="R35" s="5">
        <f>R6*MAX(IF(R34&gt;Inputs!$C$48,Inputs!$C$46,IF(R34&gt;Inputs!$C$47,Inputs!$C$45,Inputs!$C$44)),Inputs!$C$43*R34)</f>
        <v>7200</v>
      </c>
      <c r="S35" s="5">
        <f>S6*MAX(IF(S34&gt;Inputs!$C$48,Inputs!$C$46,IF(S34&gt;Inputs!$C$47,Inputs!$C$45,Inputs!$C$44)),Inputs!$C$43*S34)</f>
        <v>6000</v>
      </c>
      <c r="T35" s="5">
        <f>T6*MAX(IF(T34&gt;Inputs!$C$48,Inputs!$C$46,IF(T34&gt;Inputs!$C$47,Inputs!$C$45,Inputs!$C$44)),Inputs!$C$43*T34)</f>
        <v>4800</v>
      </c>
      <c r="U35" s="5">
        <f>U6*MAX(IF(U34&gt;Inputs!$C$48,Inputs!$C$46,IF(U34&gt;Inputs!$C$47,Inputs!$C$45,Inputs!$C$44)),Inputs!$C$43*U34)</f>
        <v>3600</v>
      </c>
      <c r="V35" s="5">
        <f>V6*MAX(IF(V34&gt;Inputs!$C$48,Inputs!$C$46,IF(V34&gt;Inputs!$C$47,Inputs!$C$45,Inputs!$C$44)),Inputs!$C$43*V34)</f>
        <v>2400</v>
      </c>
      <c r="W35" s="5">
        <f>W6*MAX(IF(W34&gt;Inputs!$C$48,Inputs!$C$46,IF(W34&gt;Inputs!$C$47,Inputs!$C$45,Inputs!$C$44)),Inputs!$C$43*W34)</f>
        <v>1200</v>
      </c>
      <c r="X35" s="5">
        <f>X6*MAX(IF(X34&gt;Inputs!$C$48,Inputs!$C$46,IF(X34&gt;Inputs!$C$47,Inputs!$C$45,Inputs!$C$44)),Inputs!$C$43*X34)</f>
        <v>535</v>
      </c>
      <c r="Y35" s="5">
        <f>Y6*MAX(IF(Y34&gt;Inputs!$C$48,Inputs!$C$46,IF(Y34&gt;Inputs!$C$47,Inputs!$C$45,Inputs!$C$44)),Inputs!$C$43*Y34)</f>
        <v>535</v>
      </c>
      <c r="Z35" s="5">
        <f>Z6*MAX(IF(Z34&gt;Inputs!$C$48,Inputs!$C$46,IF(Z34&gt;Inputs!$C$47,Inputs!$C$45,Inputs!$C$44)),Inputs!$C$43*Z34)</f>
        <v>535</v>
      </c>
      <c r="AA35" s="5">
        <f>AA6*MAX(IF(AA34&gt;Inputs!$C$48,Inputs!$C$46,IF(AA34&gt;Inputs!$C$47,Inputs!$C$45,Inputs!$C$44)),Inputs!$C$43*AA34)</f>
        <v>535</v>
      </c>
      <c r="AB35" s="5">
        <f>AB6*MAX(IF(AB34&gt;Inputs!$C$48,Inputs!$C$46,IF(AB34&gt;Inputs!$C$47,Inputs!$C$45,Inputs!$C$44)),Inputs!$C$43*AB34)</f>
        <v>535</v>
      </c>
    </row>
    <row r="36" spans="1:28" x14ac:dyDescent="0.25">
      <c r="A36" s="3" t="s">
        <v>358</v>
      </c>
      <c r="B36" s="2" t="s">
        <v>225</v>
      </c>
      <c r="D36" s="25">
        <f t="shared" ref="D36:AB36" si="7">D30-D33-D35</f>
        <v>311333.03120000003</v>
      </c>
      <c r="E36" s="25">
        <f t="shared" si="7"/>
        <v>311837.66647943994</v>
      </c>
      <c r="F36" s="25">
        <f t="shared" si="7"/>
        <v>312304.72732035542</v>
      </c>
      <c r="G36" s="25">
        <f t="shared" si="7"/>
        <v>312733.2666970077</v>
      </c>
      <c r="H36" s="25">
        <f t="shared" si="7"/>
        <v>239019.75646269321</v>
      </c>
      <c r="I36" s="25">
        <f t="shared" si="7"/>
        <v>236113.21457838319</v>
      </c>
      <c r="J36" s="25">
        <f t="shared" si="7"/>
        <v>233157.04256444119</v>
      </c>
      <c r="K36" s="25">
        <f t="shared" si="7"/>
        <v>230150.11781544244</v>
      </c>
      <c r="L36" s="25">
        <f t="shared" si="7"/>
        <v>227091.29579386485</v>
      </c>
      <c r="M36" s="25">
        <f t="shared" si="7"/>
        <v>223095.03426949593</v>
      </c>
      <c r="N36" s="25">
        <f t="shared" si="7"/>
        <v>218559.92311737975</v>
      </c>
      <c r="O36" s="25">
        <f t="shared" si="7"/>
        <v>213951.95378957118</v>
      </c>
      <c r="P36" s="25">
        <f t="shared" si="7"/>
        <v>209269.50174636714</v>
      </c>
      <c r="Q36" s="25">
        <f t="shared" si="7"/>
        <v>204510.91062677509</v>
      </c>
      <c r="R36" s="25">
        <f t="shared" si="7"/>
        <v>199674.49160940913</v>
      </c>
      <c r="S36" s="25">
        <f t="shared" si="7"/>
        <v>31080.502224963449</v>
      </c>
      <c r="T36" s="25">
        <f t="shared" si="7"/>
        <v>27383.956718456087</v>
      </c>
      <c r="U36" s="25">
        <f t="shared" si="7"/>
        <v>23612.032924022555</v>
      </c>
      <c r="V36" s="25">
        <f t="shared" si="7"/>
        <v>19763.133065415634</v>
      </c>
      <c r="W36" s="25">
        <f t="shared" si="7"/>
        <v>15835.627771704865</v>
      </c>
      <c r="X36" s="25">
        <f t="shared" si="7"/>
        <v>8469.5463494714804</v>
      </c>
      <c r="Y36" s="25">
        <f t="shared" si="7"/>
        <v>4442.4719810478637</v>
      </c>
      <c r="Z36" s="25">
        <f t="shared" si="7"/>
        <v>351.68478643744345</v>
      </c>
      <c r="AA36" s="25">
        <f t="shared" si="7"/>
        <v>-4829.1768100989284</v>
      </c>
      <c r="AB36" s="25">
        <f t="shared" si="7"/>
        <v>-10375.300706925773</v>
      </c>
    </row>
    <row r="37" spans="1:28" x14ac:dyDescent="0.25">
      <c r="A37" s="4" t="s">
        <v>359</v>
      </c>
      <c r="B37" s="2" t="s">
        <v>225</v>
      </c>
      <c r="D37" s="27">
        <f>Debt!D14</f>
        <v>130000</v>
      </c>
      <c r="E37" s="27">
        <f>Debt!E14</f>
        <v>124624.13821454189</v>
      </c>
      <c r="F37" s="27">
        <f>Debt!F14</f>
        <v>118898.84541302899</v>
      </c>
      <c r="G37" s="27">
        <f>Debt!G14</f>
        <v>112801.40857941777</v>
      </c>
      <c r="H37" s="27">
        <f>Debt!H14</f>
        <v>106307.6383516218</v>
      </c>
      <c r="I37" s="27">
        <f>Debt!I14</f>
        <v>99391.773059019106</v>
      </c>
      <c r="J37" s="27">
        <f>Debt!J14</f>
        <v>92026.376522397215</v>
      </c>
      <c r="K37" s="27">
        <f>Debt!K14</f>
        <v>84182.229210894919</v>
      </c>
      <c r="L37" s="27">
        <f>Debt!L14</f>
        <v>75828.212324144959</v>
      </c>
      <c r="M37" s="27">
        <f>Debt!M14</f>
        <v>66931.184339756262</v>
      </c>
      <c r="N37" s="27">
        <f>Debt!N14</f>
        <v>57455.849536382295</v>
      </c>
      <c r="O37" s="27">
        <f>Debt!O14</f>
        <v>47364.617970789019</v>
      </c>
      <c r="P37" s="27">
        <f>Debt!P14</f>
        <v>36617.456353432179</v>
      </c>
      <c r="Q37" s="27">
        <f>Debt!Q14</f>
        <v>25171.729230947145</v>
      </c>
      <c r="R37" s="27">
        <f>Debt!R14</f>
        <v>12982.029845500587</v>
      </c>
      <c r="S37" s="27">
        <f>Debt!S14</f>
        <v>0</v>
      </c>
      <c r="T37" s="27">
        <f>Debt!T14</f>
        <v>0</v>
      </c>
      <c r="U37" s="27">
        <f>Debt!U14</f>
        <v>0</v>
      </c>
      <c r="V37" s="27">
        <f>Debt!V14</f>
        <v>0</v>
      </c>
      <c r="W37" s="27">
        <f>Debt!W14</f>
        <v>0</v>
      </c>
      <c r="X37" s="27">
        <f>Debt!X14</f>
        <v>0</v>
      </c>
      <c r="Y37" s="27">
        <f>Debt!Y14</f>
        <v>0</v>
      </c>
      <c r="Z37" s="27">
        <f>Debt!Z14</f>
        <v>0</v>
      </c>
      <c r="AA37" s="27">
        <f>Debt!AA14</f>
        <v>0</v>
      </c>
      <c r="AB37" s="27">
        <f>Debt!AB14</f>
        <v>0</v>
      </c>
    </row>
    <row r="38" spans="1:28" x14ac:dyDescent="0.25">
      <c r="A38" s="4" t="s">
        <v>360</v>
      </c>
      <c r="B38" s="2" t="s">
        <v>225</v>
      </c>
      <c r="D38" s="5">
        <f>MAX(0,(D30-D32-D37)*Inputs!$C$41)</f>
        <v>0</v>
      </c>
      <c r="E38" s="5">
        <f>MAX(0,(E30-E32-E37)*Inputs!$C$41)</f>
        <v>0</v>
      </c>
      <c r="F38" s="5">
        <f>MAX(0,(F30-F32-F37)*Inputs!$C$41)</f>
        <v>1061.9802529624485</v>
      </c>
      <c r="G38" s="5">
        <f>MAX(0,(G30-G32-G37)*Inputs!$C$41)</f>
        <v>2275.5526366348627</v>
      </c>
      <c r="H38" s="5">
        <f>MAX(0,(H30-H32-H37)*Inputs!$C$41)</f>
        <v>0</v>
      </c>
      <c r="I38" s="5">
        <f>MAX(0,(I30-I32-I37)*Inputs!$C$41)</f>
        <v>0</v>
      </c>
      <c r="J38" s="5">
        <f>MAX(0,(J30-J32-J37)*Inputs!$C$41)</f>
        <v>0</v>
      </c>
      <c r="K38" s="5">
        <f>MAX(0,(K30-K32-K37)*Inputs!$C$41)</f>
        <v>0</v>
      </c>
      <c r="L38" s="5">
        <f>MAX(0,(L30-L32-L37)*Inputs!$C$41)</f>
        <v>0</v>
      </c>
      <c r="M38" s="5">
        <f>MAX(0,(M30-M32-M37)*Inputs!$C$41)</f>
        <v>0</v>
      </c>
      <c r="N38" s="5">
        <f>MAX(0,(N30-N32-N37)*Inputs!$C$41)</f>
        <v>0</v>
      </c>
      <c r="O38" s="5">
        <f>MAX(0,(O30-O32-O37)*Inputs!$C$41)</f>
        <v>0</v>
      </c>
      <c r="P38" s="5">
        <f>MAX(0,(P30-P32-P37)*Inputs!$C$41)</f>
        <v>0</v>
      </c>
      <c r="Q38" s="5">
        <f>MAX(0,(Q30-Q32-Q37)*Inputs!$C$41)</f>
        <v>0</v>
      </c>
      <c r="R38" s="5">
        <f>MAX(0,(R30-R32-R37)*Inputs!$C$41)</f>
        <v>0</v>
      </c>
      <c r="S38" s="5">
        <f>MAX(0,(S30-S32-S37)*Inputs!$C$41)</f>
        <v>0</v>
      </c>
      <c r="T38" s="5">
        <f>MAX(0,(T30-T32-T37)*Inputs!$C$41)</f>
        <v>0</v>
      </c>
      <c r="U38" s="5">
        <f>MAX(0,(U30-U32-U37)*Inputs!$C$41)</f>
        <v>0</v>
      </c>
      <c r="V38" s="5">
        <f>MAX(0,(V30-V32-V37)*Inputs!$C$41)</f>
        <v>0</v>
      </c>
      <c r="W38" s="5">
        <f>MAX(0,(W30-W32-W37)*Inputs!$C$41)</f>
        <v>0</v>
      </c>
      <c r="X38" s="5">
        <f>MAX(0,(X30-X32-X37)*Inputs!$C$41)</f>
        <v>2823.309094468465</v>
      </c>
      <c r="Y38" s="5">
        <f>MAX(0,(Y30-Y32-Y37)*Inputs!$C$41)</f>
        <v>1560.6496281047223</v>
      </c>
      <c r="Z38" s="5">
        <f>MAX(0,(Z30-Z32-Z37)*Inputs!$C$41)</f>
        <v>278.01347500672239</v>
      </c>
      <c r="AA38" s="5">
        <f>MAX(0,(AA30-AA32-AA37)*Inputs!$C$41)</f>
        <v>0</v>
      </c>
      <c r="AB38" s="5">
        <f>MAX(0,(AB30-AB32-AB37)*Inputs!$C$41)</f>
        <v>0</v>
      </c>
    </row>
    <row r="39" spans="1:28" x14ac:dyDescent="0.25">
      <c r="A39" s="4" t="s">
        <v>361</v>
      </c>
      <c r="B39" s="2" t="s">
        <v>225</v>
      </c>
      <c r="D39" s="5">
        <f>D34+'Sources &amp; Uses'!$C$7</f>
        <v>4906352.7829650622</v>
      </c>
      <c r="E39" s="5">
        <f t="shared" ref="E39:AB39" si="8">E34+D58+D61</f>
        <v>4666352.7829650622</v>
      </c>
      <c r="F39" s="5">
        <f t="shared" si="8"/>
        <v>4426352.7829650622</v>
      </c>
      <c r="G39" s="5">
        <f t="shared" si="8"/>
        <v>4186352.7829650627</v>
      </c>
      <c r="H39" s="5">
        <f t="shared" si="8"/>
        <v>3946352.7829650627</v>
      </c>
      <c r="I39" s="5">
        <f t="shared" si="8"/>
        <v>3706352.7829650627</v>
      </c>
      <c r="J39" s="5">
        <f t="shared" si="8"/>
        <v>3466352.7829650627</v>
      </c>
      <c r="K39" s="5">
        <f t="shared" si="8"/>
        <v>3226352.7829650627</v>
      </c>
      <c r="L39" s="5">
        <f t="shared" si="8"/>
        <v>2986352.7829650627</v>
      </c>
      <c r="M39" s="5">
        <f t="shared" si="8"/>
        <v>2766507.2731205788</v>
      </c>
      <c r="N39" s="5">
        <f t="shared" si="8"/>
        <v>2541412.7577358666</v>
      </c>
      <c r="O39" s="5">
        <f t="shared" si="8"/>
        <v>2310979.73186801</v>
      </c>
      <c r="P39" s="5">
        <f t="shared" si="8"/>
        <v>2075114.653219715</v>
      </c>
      <c r="Q39" s="5">
        <f t="shared" si="8"/>
        <v>1833719.743181661</v>
      </c>
      <c r="R39" s="5">
        <f t="shared" si="8"/>
        <v>1586692.7760263218</v>
      </c>
      <c r="S39" s="5">
        <f t="shared" si="8"/>
        <v>1333926.8555058977</v>
      </c>
      <c r="T39" s="5">
        <f t="shared" si="8"/>
        <v>960000</v>
      </c>
      <c r="U39" s="5">
        <f t="shared" si="8"/>
        <v>720000</v>
      </c>
      <c r="V39" s="5">
        <f t="shared" si="8"/>
        <v>480000</v>
      </c>
      <c r="W39" s="5">
        <f t="shared" si="8"/>
        <v>240000</v>
      </c>
      <c r="X39" s="5">
        <f t="shared" si="8"/>
        <v>0</v>
      </c>
      <c r="Y39" s="5">
        <f t="shared" si="8"/>
        <v>0</v>
      </c>
      <c r="Z39" s="5">
        <f t="shared" si="8"/>
        <v>0</v>
      </c>
      <c r="AA39" s="5">
        <f t="shared" si="8"/>
        <v>0</v>
      </c>
      <c r="AB39" s="5">
        <f t="shared" si="8"/>
        <v>0</v>
      </c>
    </row>
    <row r="40" spans="1:28" x14ac:dyDescent="0.25">
      <c r="A40" s="4" t="s">
        <v>362</v>
      </c>
      <c r="B40" s="2" t="s">
        <v>225</v>
      </c>
      <c r="D40" s="5">
        <f>MAX(0,D39-Debt!D12)</f>
        <v>2906352.7829650622</v>
      </c>
      <c r="E40" s="5">
        <f>MAX(0,E39-Debt!E12-D53)</f>
        <v>2749058.348895187</v>
      </c>
      <c r="F40" s="5">
        <f>MAX(0,F39-Debt!F12-E53)</f>
        <v>2597139.7766107703</v>
      </c>
      <c r="G40" s="5">
        <f>MAX(0,G39-Debt!G12-F53)</f>
        <v>2450946.4971278664</v>
      </c>
      <c r="H40" s="5">
        <f>MAX(0,H39-Debt!H12-G53)</f>
        <v>2310850.6544785732</v>
      </c>
      <c r="I40" s="5">
        <f>MAX(0,I39-Debt!I12-H53)</f>
        <v>2177248.5820570765</v>
      </c>
      <c r="J40" s="5">
        <f>MAX(0,J39-Debt!J12-I53)</f>
        <v>2050562.3749281825</v>
      </c>
      <c r="K40" s="5">
        <f>MAX(0,K39-Debt!K12-J53)</f>
        <v>1931241.5643359101</v>
      </c>
      <c r="L40" s="5">
        <f>MAX(0,L39-Debt!L12-K53)</f>
        <v>1819764.9010551402</v>
      </c>
      <c r="M40" s="5">
        <f>MAX(0,M39-Debt!M12-L53)</f>
        <v>1736796.7448166364</v>
      </c>
      <c r="N40" s="5">
        <f>MAX(0,N39-Debt!N12-M53)</f>
        <v>1657476.6110222929</v>
      </c>
      <c r="O40" s="5">
        <f>MAX(0,O39-Debt!O12-N53)</f>
        <v>1582293.301548179</v>
      </c>
      <c r="P40" s="5">
        <f>MAX(0,P39-Debt!P12-O53)</f>
        <v>1511769.17085922</v>
      </c>
      <c r="Q40" s="5">
        <f>MAX(0,Q39-Debt!Q12-P53)</f>
        <v>1446462.3703978588</v>
      </c>
      <c r="R40" s="5">
        <f>MAX(0,R39-Debt!R12-Q53)</f>
        <v>1386969.2399416973</v>
      </c>
      <c r="S40" s="5">
        <f>MAX(0,S39-Debt!S12-R53)</f>
        <v>1333926.8555058977</v>
      </c>
      <c r="T40" s="5">
        <f>MAX(0,T39-Debt!T12-S53)</f>
        <v>960000</v>
      </c>
      <c r="U40" s="5">
        <f>MAX(0,U39-Debt!U12-T53)</f>
        <v>720000</v>
      </c>
      <c r="V40" s="5">
        <f>MAX(0,V39-Debt!V12-U53)</f>
        <v>480000</v>
      </c>
      <c r="W40" s="5">
        <f>MAX(0,W39-Debt!W12-V53)</f>
        <v>240000</v>
      </c>
      <c r="X40" s="5">
        <f>MAX(0,X39-Debt!X12-W53)</f>
        <v>0</v>
      </c>
      <c r="Y40" s="5">
        <f>MAX(0,Y39-Debt!Y12-X53)</f>
        <v>0</v>
      </c>
      <c r="Z40" s="5">
        <f>MAX(0,Z39-Debt!Z12-Y53)</f>
        <v>0</v>
      </c>
      <c r="AA40" s="5">
        <f>MAX(0,AA39-Debt!AA12-Z53)</f>
        <v>0</v>
      </c>
      <c r="AB40" s="5">
        <f>MAX(0,AB39-Debt!AB12-AA53)</f>
        <v>0</v>
      </c>
    </row>
    <row r="41" spans="1:28" x14ac:dyDescent="0.25">
      <c r="A41" s="4" t="s">
        <v>363</v>
      </c>
      <c r="B41" s="2" t="s">
        <v>225</v>
      </c>
      <c r="D41" s="5">
        <f>D6*MAX(IF(D39&gt;Inputs!$C$48,Inputs!$C$46,IF(D39&gt;Inputs!$C$47,Inputs!$C$45,Inputs!$C$44)),Inputs!$C$43*D40)</f>
        <v>14531.763914825311</v>
      </c>
      <c r="E41" s="5">
        <f>E6*MAX(IF(E39&gt;Inputs!$C$48,Inputs!$C$46,IF(E39&gt;Inputs!$C$47,Inputs!$C$45,Inputs!$C$44)),Inputs!$C$43*E40)</f>
        <v>13745.291744475935</v>
      </c>
      <c r="F41" s="5">
        <f>F6*MAX(IF(F39&gt;Inputs!$C$48,Inputs!$C$46,IF(F39&gt;Inputs!$C$47,Inputs!$C$45,Inputs!$C$44)),Inputs!$C$43*F40)</f>
        <v>12985.698883053852</v>
      </c>
      <c r="G41" s="5">
        <f>G6*MAX(IF(G39&gt;Inputs!$C$48,Inputs!$C$46,IF(G39&gt;Inputs!$C$47,Inputs!$C$45,Inputs!$C$44)),Inputs!$C$43*G40)</f>
        <v>12254.732485639332</v>
      </c>
      <c r="H41" s="5">
        <f>H6*MAX(IF(H39&gt;Inputs!$C$48,Inputs!$C$46,IF(H39&gt;Inputs!$C$47,Inputs!$C$45,Inputs!$C$44)),Inputs!$C$43*H40)</f>
        <v>11554.253272392867</v>
      </c>
      <c r="I41" s="5">
        <f>I6*MAX(IF(I39&gt;Inputs!$C$48,Inputs!$C$46,IF(I39&gt;Inputs!$C$47,Inputs!$C$45,Inputs!$C$44)),Inputs!$C$43*I40)</f>
        <v>10886.242910285382</v>
      </c>
      <c r="J41" s="5">
        <f>J6*MAX(IF(J39&gt;Inputs!$C$48,Inputs!$C$46,IF(J39&gt;Inputs!$C$47,Inputs!$C$45,Inputs!$C$44)),Inputs!$C$43*J40)</f>
        <v>10252.811874640913</v>
      </c>
      <c r="K41" s="5">
        <f>K6*MAX(IF(K39&gt;Inputs!$C$48,Inputs!$C$46,IF(K39&gt;Inputs!$C$47,Inputs!$C$45,Inputs!$C$44)),Inputs!$C$43*K40)</f>
        <v>9656.2078216795508</v>
      </c>
      <c r="L41" s="5">
        <f>L6*MAX(IF(L39&gt;Inputs!$C$48,Inputs!$C$46,IF(L39&gt;Inputs!$C$47,Inputs!$C$45,Inputs!$C$44)),Inputs!$C$43*L40)</f>
        <v>9098.8245052757011</v>
      </c>
      <c r="M41" s="5">
        <f>M6*MAX(IF(M39&gt;Inputs!$C$48,Inputs!$C$46,IF(M39&gt;Inputs!$C$47,Inputs!$C$45,Inputs!$C$44)),Inputs!$C$43*M40)</f>
        <v>8683.9837240831821</v>
      </c>
      <c r="N41" s="5">
        <f>N6*MAX(IF(N39&gt;Inputs!$C$48,Inputs!$C$46,IF(N39&gt;Inputs!$C$47,Inputs!$C$45,Inputs!$C$44)),Inputs!$C$43*N40)</f>
        <v>8287.3830551114643</v>
      </c>
      <c r="O41" s="5">
        <f>O6*MAX(IF(O39&gt;Inputs!$C$48,Inputs!$C$46,IF(O39&gt;Inputs!$C$47,Inputs!$C$45,Inputs!$C$44)),Inputs!$C$43*O40)</f>
        <v>7911.4665077408954</v>
      </c>
      <c r="P41" s="5">
        <f>P6*MAX(IF(P39&gt;Inputs!$C$48,Inputs!$C$46,IF(P39&gt;Inputs!$C$47,Inputs!$C$45,Inputs!$C$44)),Inputs!$C$43*P40)</f>
        <v>7558.8458542960998</v>
      </c>
      <c r="Q41" s="5">
        <f>Q6*MAX(IF(Q39&gt;Inputs!$C$48,Inputs!$C$46,IF(Q39&gt;Inputs!$C$47,Inputs!$C$45,Inputs!$C$44)),Inputs!$C$43*Q40)</f>
        <v>7232.3118519892942</v>
      </c>
      <c r="R41" s="5">
        <f>R6*MAX(IF(R39&gt;Inputs!$C$48,Inputs!$C$46,IF(R39&gt;Inputs!$C$47,Inputs!$C$45,Inputs!$C$44)),Inputs!$C$43*R40)</f>
        <v>6934.8461997084869</v>
      </c>
      <c r="S41" s="5">
        <f>S6*MAX(IF(S39&gt;Inputs!$C$48,Inputs!$C$46,IF(S39&gt;Inputs!$C$47,Inputs!$C$45,Inputs!$C$44)),Inputs!$C$43*S40)</f>
        <v>6669.6342775294888</v>
      </c>
      <c r="T41" s="5">
        <f>T6*MAX(IF(T39&gt;Inputs!$C$48,Inputs!$C$46,IF(T39&gt;Inputs!$C$47,Inputs!$C$45,Inputs!$C$44)),Inputs!$C$43*T40)</f>
        <v>4800</v>
      </c>
      <c r="U41" s="5">
        <f>U6*MAX(IF(U39&gt;Inputs!$C$48,Inputs!$C$46,IF(U39&gt;Inputs!$C$47,Inputs!$C$45,Inputs!$C$44)),Inputs!$C$43*U40)</f>
        <v>3600</v>
      </c>
      <c r="V41" s="5">
        <f>V6*MAX(IF(V39&gt;Inputs!$C$48,Inputs!$C$46,IF(V39&gt;Inputs!$C$47,Inputs!$C$45,Inputs!$C$44)),Inputs!$C$43*V40)</f>
        <v>2400</v>
      </c>
      <c r="W41" s="5">
        <f>W6*MAX(IF(W39&gt;Inputs!$C$48,Inputs!$C$46,IF(W39&gt;Inputs!$C$47,Inputs!$C$45,Inputs!$C$44)),Inputs!$C$43*W40)</f>
        <v>1200</v>
      </c>
      <c r="X41" s="5">
        <f>X6*MAX(IF(X39&gt;Inputs!$C$48,Inputs!$C$46,IF(X39&gt;Inputs!$C$47,Inputs!$C$45,Inputs!$C$44)),Inputs!$C$43*X40)</f>
        <v>535</v>
      </c>
      <c r="Y41" s="5">
        <f>Y6*MAX(IF(Y39&gt;Inputs!$C$48,Inputs!$C$46,IF(Y39&gt;Inputs!$C$47,Inputs!$C$45,Inputs!$C$44)),Inputs!$C$43*Y40)</f>
        <v>535</v>
      </c>
      <c r="Z41" s="5">
        <f>Z6*MAX(IF(Z39&gt;Inputs!$C$48,Inputs!$C$46,IF(Z39&gt;Inputs!$C$47,Inputs!$C$45,Inputs!$C$44)),Inputs!$C$43*Z40)</f>
        <v>535</v>
      </c>
      <c r="AA41" s="5">
        <f>AA6*MAX(IF(AA39&gt;Inputs!$C$48,Inputs!$C$46,IF(AA39&gt;Inputs!$C$47,Inputs!$C$45,Inputs!$C$44)),Inputs!$C$43*AA40)</f>
        <v>535</v>
      </c>
      <c r="AB41" s="5">
        <f>AB6*MAX(IF(AB39&gt;Inputs!$C$48,Inputs!$C$46,IF(AB39&gt;Inputs!$C$47,Inputs!$C$45,Inputs!$C$44)),Inputs!$C$43*AB40)</f>
        <v>535</v>
      </c>
    </row>
    <row r="42" spans="1:28" x14ac:dyDescent="0.25">
      <c r="A42" s="3" t="s">
        <v>364</v>
      </c>
      <c r="B42" s="2" t="s">
        <v>225</v>
      </c>
      <c r="D42" s="25">
        <f t="shared" ref="D42:AB42" si="9">D30-D38-D41</f>
        <v>350692.23608517466</v>
      </c>
      <c r="E42" s="25">
        <f t="shared" si="9"/>
        <v>350565.31705552398</v>
      </c>
      <c r="F42" s="25">
        <f t="shared" si="9"/>
        <v>349300.18283739162</v>
      </c>
      <c r="G42" s="25">
        <f t="shared" si="9"/>
        <v>347804.23043927539</v>
      </c>
      <c r="H42" s="25">
        <f t="shared" si="9"/>
        <v>252378.17344860177</v>
      </c>
      <c r="I42" s="25">
        <f t="shared" si="9"/>
        <v>247652.0660065453</v>
      </c>
      <c r="J42" s="25">
        <f t="shared" si="9"/>
        <v>242826.18794729683</v>
      </c>
      <c r="K42" s="25">
        <f t="shared" si="9"/>
        <v>237896.81702456033</v>
      </c>
      <c r="L42" s="25">
        <f t="shared" si="9"/>
        <v>232860.05608564097</v>
      </c>
      <c r="M42" s="25">
        <f t="shared" si="9"/>
        <v>227611.05054541276</v>
      </c>
      <c r="N42" s="25">
        <f t="shared" si="9"/>
        <v>222272.54006226829</v>
      </c>
      <c r="O42" s="25">
        <f t="shared" si="9"/>
        <v>216840.48728183028</v>
      </c>
      <c r="P42" s="25">
        <f t="shared" si="9"/>
        <v>211310.65589207105</v>
      </c>
      <c r="Q42" s="25">
        <f t="shared" si="9"/>
        <v>205678.59877478579</v>
      </c>
      <c r="R42" s="25">
        <f t="shared" si="9"/>
        <v>199939.64540970064</v>
      </c>
      <c r="S42" s="25">
        <f t="shared" si="9"/>
        <v>30410.867947433959</v>
      </c>
      <c r="T42" s="25">
        <f t="shared" si="9"/>
        <v>27383.956718456087</v>
      </c>
      <c r="U42" s="25">
        <f t="shared" si="9"/>
        <v>23612.032924022555</v>
      </c>
      <c r="V42" s="25">
        <f t="shared" si="9"/>
        <v>19763.133065415634</v>
      </c>
      <c r="W42" s="25">
        <f t="shared" si="9"/>
        <v>15835.627771704865</v>
      </c>
      <c r="X42" s="25">
        <f t="shared" si="9"/>
        <v>8469.5463494714804</v>
      </c>
      <c r="Y42" s="25">
        <f t="shared" si="9"/>
        <v>4442.4719810478637</v>
      </c>
      <c r="Z42" s="25">
        <f t="shared" si="9"/>
        <v>351.68478643744345</v>
      </c>
      <c r="AA42" s="25">
        <f t="shared" si="9"/>
        <v>-4829.1768100989284</v>
      </c>
      <c r="AB42" s="25">
        <f t="shared" si="9"/>
        <v>-10375.300706925773</v>
      </c>
    </row>
    <row r="43" spans="1:28" x14ac:dyDescent="0.25">
      <c r="A43" s="31" t="s">
        <v>365</v>
      </c>
    </row>
    <row r="44" spans="1:28" x14ac:dyDescent="0.25">
      <c r="A44" s="4" t="s">
        <v>366</v>
      </c>
      <c r="B44" s="2" t="s">
        <v>225</v>
      </c>
      <c r="D44" s="27">
        <f>Debt!D17</f>
        <v>212705.56593012495</v>
      </c>
      <c r="E44" s="27">
        <f>Debt!E17</f>
        <v>212705.56593012495</v>
      </c>
      <c r="F44" s="27">
        <f>Debt!F17</f>
        <v>212705.56593012495</v>
      </c>
      <c r="G44" s="27">
        <f>Debt!G17</f>
        <v>212705.56593012495</v>
      </c>
      <c r="H44" s="27">
        <f>Debt!H17</f>
        <v>212705.56593012495</v>
      </c>
      <c r="I44" s="27">
        <f>Debt!I17</f>
        <v>212705.56593012495</v>
      </c>
      <c r="J44" s="27">
        <f>Debt!J17</f>
        <v>212705.56593012495</v>
      </c>
      <c r="K44" s="27">
        <f>Debt!K17</f>
        <v>212705.56593012495</v>
      </c>
      <c r="L44" s="27">
        <f>Debt!L17</f>
        <v>212705.56593012495</v>
      </c>
      <c r="M44" s="27">
        <f>Debt!M17</f>
        <v>212705.56593012495</v>
      </c>
      <c r="N44" s="27">
        <f>Debt!N17</f>
        <v>212705.56593012495</v>
      </c>
      <c r="O44" s="27">
        <f>Debt!O17</f>
        <v>212705.56593012495</v>
      </c>
      <c r="P44" s="27">
        <f>Debt!P17</f>
        <v>212705.56593012495</v>
      </c>
      <c r="Q44" s="27">
        <f>Debt!Q17</f>
        <v>212705.56593012495</v>
      </c>
      <c r="R44" s="27">
        <f>Debt!R17</f>
        <v>212705.56593012495</v>
      </c>
      <c r="S44" s="27">
        <f>Debt!S17</f>
        <v>0</v>
      </c>
      <c r="T44" s="27">
        <f>Debt!T17</f>
        <v>0</v>
      </c>
      <c r="U44" s="27">
        <f>Debt!U17</f>
        <v>0</v>
      </c>
      <c r="V44" s="27">
        <f>Debt!V17</f>
        <v>0</v>
      </c>
      <c r="W44" s="27">
        <f>Debt!W17</f>
        <v>0</v>
      </c>
      <c r="X44" s="27">
        <f>Debt!X17</f>
        <v>0</v>
      </c>
      <c r="Y44" s="27">
        <f>Debt!Y17</f>
        <v>0</v>
      </c>
      <c r="Z44" s="27">
        <f>Debt!Z17</f>
        <v>0</v>
      </c>
      <c r="AA44" s="27">
        <f>Debt!AA17</f>
        <v>0</v>
      </c>
      <c r="AB44" s="27">
        <f>Debt!AB17</f>
        <v>0</v>
      </c>
    </row>
    <row r="45" spans="1:28" x14ac:dyDescent="0.25">
      <c r="A45" s="3" t="s">
        <v>367</v>
      </c>
      <c r="B45" s="2" t="s">
        <v>237</v>
      </c>
      <c r="D45" s="34">
        <f t="shared" ref="D45:AB45" si="10">IF(D44&gt;1,D42/D44,"")</f>
        <v>1.648721482917749</v>
      </c>
      <c r="E45" s="34">
        <f t="shared" si="10"/>
        <v>1.6481247941141643</v>
      </c>
      <c r="F45" s="34">
        <f t="shared" si="10"/>
        <v>1.6421769750592179</v>
      </c>
      <c r="G45" s="34">
        <f t="shared" si="10"/>
        <v>1.6351440025482509</v>
      </c>
      <c r="H45" s="34">
        <f t="shared" si="10"/>
        <v>1.1865141955500567</v>
      </c>
      <c r="I45" s="34">
        <f t="shared" si="10"/>
        <v>1.1642951839252786</v>
      </c>
      <c r="J45" s="34">
        <f t="shared" si="10"/>
        <v>1.141607117263056</v>
      </c>
      <c r="K45" s="34">
        <f t="shared" si="10"/>
        <v>1.1184324960387302</v>
      </c>
      <c r="L45" s="34">
        <f t="shared" si="10"/>
        <v>1.0947529984341684</v>
      </c>
      <c r="M45" s="34">
        <f t="shared" si="10"/>
        <v>1.0700756679784502</v>
      </c>
      <c r="N45" s="34">
        <f t="shared" si="10"/>
        <v>1.0449775448531806</v>
      </c>
      <c r="O45" s="34">
        <f t="shared" si="10"/>
        <v>1.0194396481052295</v>
      </c>
      <c r="P45" s="34">
        <f t="shared" si="10"/>
        <v>0.99344206141501656</v>
      </c>
      <c r="Q45" s="34">
        <f t="shared" si="10"/>
        <v>0.96696387739262279</v>
      </c>
      <c r="R45" s="34">
        <f t="shared" si="10"/>
        <v>0.9399831383602909</v>
      </c>
      <c r="S45" s="34" t="str">
        <f t="shared" si="10"/>
        <v/>
      </c>
      <c r="T45" s="34" t="str">
        <f t="shared" si="10"/>
        <v/>
      </c>
      <c r="U45" s="34" t="str">
        <f t="shared" si="10"/>
        <v/>
      </c>
      <c r="V45" s="34" t="str">
        <f t="shared" si="10"/>
        <v/>
      </c>
      <c r="W45" s="34" t="str">
        <f t="shared" si="10"/>
        <v/>
      </c>
      <c r="X45" s="34" t="str">
        <f t="shared" si="10"/>
        <v/>
      </c>
      <c r="Y45" s="34" t="str">
        <f t="shared" si="10"/>
        <v/>
      </c>
      <c r="Z45" s="34" t="str">
        <f t="shared" si="10"/>
        <v/>
      </c>
      <c r="AA45" s="34" t="str">
        <f t="shared" si="10"/>
        <v/>
      </c>
      <c r="AB45" s="34" t="str">
        <f t="shared" si="10"/>
        <v/>
      </c>
    </row>
    <row r="46" spans="1:28" x14ac:dyDescent="0.25">
      <c r="A46" s="4" t="s">
        <v>368</v>
      </c>
      <c r="B46" s="2" t="s">
        <v>225</v>
      </c>
      <c r="D46" s="5">
        <f>0</f>
        <v>0</v>
      </c>
      <c r="E46" s="5">
        <f t="shared" ref="E46:AB46" si="11">D61</f>
        <v>0</v>
      </c>
      <c r="F46" s="5">
        <f t="shared" si="11"/>
        <v>0</v>
      </c>
      <c r="G46" s="5">
        <f t="shared" si="11"/>
        <v>0</v>
      </c>
      <c r="H46" s="5">
        <f t="shared" si="11"/>
        <v>0</v>
      </c>
      <c r="I46" s="5">
        <f t="shared" si="11"/>
        <v>0</v>
      </c>
      <c r="J46" s="5">
        <f t="shared" si="11"/>
        <v>0</v>
      </c>
      <c r="K46" s="5">
        <f t="shared" si="11"/>
        <v>0</v>
      </c>
      <c r="L46" s="5">
        <f t="shared" si="11"/>
        <v>0</v>
      </c>
      <c r="M46" s="5">
        <f t="shared" si="11"/>
        <v>20154.490155516018</v>
      </c>
      <c r="N46" s="5">
        <f t="shared" si="11"/>
        <v>35059.974770803819</v>
      </c>
      <c r="O46" s="5">
        <f t="shared" si="11"/>
        <v>44626.948902947159</v>
      </c>
      <c r="P46" s="5">
        <f t="shared" si="11"/>
        <v>48761.870254652487</v>
      </c>
      <c r="Q46" s="5">
        <f t="shared" si="11"/>
        <v>47366.960216598585</v>
      </c>
      <c r="R46" s="5">
        <f t="shared" si="11"/>
        <v>40339.993061259418</v>
      </c>
      <c r="S46" s="5">
        <f t="shared" si="11"/>
        <v>133926.85550589758</v>
      </c>
      <c r="T46" s="5">
        <f t="shared" si="11"/>
        <v>0</v>
      </c>
      <c r="U46" s="5">
        <f t="shared" si="11"/>
        <v>0</v>
      </c>
      <c r="V46" s="5">
        <f t="shared" si="11"/>
        <v>0</v>
      </c>
      <c r="W46" s="5">
        <f t="shared" si="11"/>
        <v>0</v>
      </c>
      <c r="X46" s="5">
        <f t="shared" si="11"/>
        <v>0</v>
      </c>
      <c r="Y46" s="5">
        <f t="shared" si="11"/>
        <v>0</v>
      </c>
      <c r="Z46" s="5">
        <f t="shared" si="11"/>
        <v>0</v>
      </c>
      <c r="AA46" s="5">
        <f t="shared" si="11"/>
        <v>0</v>
      </c>
      <c r="AB46" s="5">
        <f t="shared" si="11"/>
        <v>0</v>
      </c>
    </row>
    <row r="47" spans="1:28" x14ac:dyDescent="0.25">
      <c r="A47" s="4" t="s">
        <v>369</v>
      </c>
      <c r="B47" s="2" t="s">
        <v>225</v>
      </c>
      <c r="D47" s="5">
        <f>0</f>
        <v>0</v>
      </c>
      <c r="E47" s="5">
        <f t="shared" ref="E47:AB47" si="12">D53</f>
        <v>0</v>
      </c>
      <c r="F47" s="5">
        <f t="shared" si="12"/>
        <v>0</v>
      </c>
      <c r="G47" s="5">
        <f t="shared" si="12"/>
        <v>0</v>
      </c>
      <c r="H47" s="5">
        <f t="shared" si="12"/>
        <v>0</v>
      </c>
      <c r="I47" s="5">
        <f t="shared" si="12"/>
        <v>0</v>
      </c>
      <c r="J47" s="5">
        <f t="shared" si="12"/>
        <v>0</v>
      </c>
      <c r="K47" s="5">
        <f t="shared" si="12"/>
        <v>0</v>
      </c>
      <c r="L47" s="5">
        <f t="shared" si="12"/>
        <v>0</v>
      </c>
      <c r="M47" s="5">
        <f t="shared" si="12"/>
        <v>0</v>
      </c>
      <c r="N47" s="5">
        <f t="shared" si="12"/>
        <v>0</v>
      </c>
      <c r="O47" s="5">
        <f t="shared" si="12"/>
        <v>0</v>
      </c>
      <c r="P47" s="5">
        <f t="shared" si="12"/>
        <v>0</v>
      </c>
      <c r="Q47" s="5">
        <f t="shared" si="12"/>
        <v>0</v>
      </c>
      <c r="R47" s="5">
        <f t="shared" si="12"/>
        <v>0</v>
      </c>
      <c r="S47" s="5">
        <f t="shared" si="12"/>
        <v>0</v>
      </c>
      <c r="T47" s="5">
        <f t="shared" si="12"/>
        <v>0</v>
      </c>
      <c r="U47" s="5">
        <f t="shared" si="12"/>
        <v>0</v>
      </c>
      <c r="V47" s="5">
        <f t="shared" si="12"/>
        <v>0</v>
      </c>
      <c r="W47" s="5">
        <f t="shared" si="12"/>
        <v>0</v>
      </c>
      <c r="X47" s="5">
        <f t="shared" si="12"/>
        <v>0</v>
      </c>
      <c r="Y47" s="5">
        <f t="shared" si="12"/>
        <v>0</v>
      </c>
      <c r="Z47" s="5">
        <f t="shared" si="12"/>
        <v>0</v>
      </c>
      <c r="AA47" s="5">
        <f t="shared" si="12"/>
        <v>0</v>
      </c>
      <c r="AB47" s="5">
        <f t="shared" si="12"/>
        <v>0</v>
      </c>
    </row>
    <row r="48" spans="1:28" x14ac:dyDescent="0.25">
      <c r="A48" s="4" t="s">
        <v>370</v>
      </c>
      <c r="B48" s="2" t="s">
        <v>225</v>
      </c>
      <c r="D48" s="5">
        <f>D47*Inputs!$C$50</f>
        <v>0</v>
      </c>
      <c r="E48" s="5">
        <f>E47*Inputs!$C$50</f>
        <v>0</v>
      </c>
      <c r="F48" s="5">
        <f>F47*Inputs!$C$50</f>
        <v>0</v>
      </c>
      <c r="G48" s="5">
        <f>G47*Inputs!$C$50</f>
        <v>0</v>
      </c>
      <c r="H48" s="5">
        <f>H47*Inputs!$C$50</f>
        <v>0</v>
      </c>
      <c r="I48" s="5">
        <f>I47*Inputs!$C$50</f>
        <v>0</v>
      </c>
      <c r="J48" s="5">
        <f>J47*Inputs!$C$50</f>
        <v>0</v>
      </c>
      <c r="K48" s="5">
        <f>K47*Inputs!$C$50</f>
        <v>0</v>
      </c>
      <c r="L48" s="5">
        <f>L47*Inputs!$C$50</f>
        <v>0</v>
      </c>
      <c r="M48" s="5">
        <f>M47*Inputs!$C$50</f>
        <v>0</v>
      </c>
      <c r="N48" s="5">
        <f>N47*Inputs!$C$50</f>
        <v>0</v>
      </c>
      <c r="O48" s="5">
        <f>O47*Inputs!$C$50</f>
        <v>0</v>
      </c>
      <c r="P48" s="5">
        <f>P47*Inputs!$C$50</f>
        <v>0</v>
      </c>
      <c r="Q48" s="5">
        <f>Q47*Inputs!$C$50</f>
        <v>0</v>
      </c>
      <c r="R48" s="5">
        <f>R47*Inputs!$C$50</f>
        <v>0</v>
      </c>
      <c r="S48" s="5">
        <f>S47*Inputs!$C$50</f>
        <v>0</v>
      </c>
      <c r="T48" s="5">
        <f>T47*Inputs!$C$50</f>
        <v>0</v>
      </c>
      <c r="U48" s="5">
        <f>U47*Inputs!$C$50</f>
        <v>0</v>
      </c>
      <c r="V48" s="5">
        <f>V47*Inputs!$C$50</f>
        <v>0</v>
      </c>
      <c r="W48" s="5">
        <f>W47*Inputs!$C$50</f>
        <v>0</v>
      </c>
      <c r="X48" s="5">
        <f>X47*Inputs!$C$50</f>
        <v>0</v>
      </c>
      <c r="Y48" s="5">
        <f>Y47*Inputs!$C$50</f>
        <v>0</v>
      </c>
      <c r="Z48" s="5">
        <f>Z47*Inputs!$C$50</f>
        <v>0</v>
      </c>
      <c r="AA48" s="5">
        <f>AA47*Inputs!$C$50</f>
        <v>0</v>
      </c>
      <c r="AB48" s="5">
        <f>AB47*Inputs!$C$50</f>
        <v>0</v>
      </c>
    </row>
    <row r="49" spans="1:28" x14ac:dyDescent="0.25">
      <c r="A49" s="4" t="s">
        <v>371</v>
      </c>
      <c r="B49" s="2" t="s">
        <v>225</v>
      </c>
      <c r="D49" s="5">
        <f t="shared" ref="D49:AB49" si="13">D44+D47+D48</f>
        <v>212705.56593012495</v>
      </c>
      <c r="E49" s="5">
        <f t="shared" si="13"/>
        <v>212705.56593012495</v>
      </c>
      <c r="F49" s="5">
        <f t="shared" si="13"/>
        <v>212705.56593012495</v>
      </c>
      <c r="G49" s="5">
        <f t="shared" si="13"/>
        <v>212705.56593012495</v>
      </c>
      <c r="H49" s="5">
        <f t="shared" si="13"/>
        <v>212705.56593012495</v>
      </c>
      <c r="I49" s="5">
        <f t="shared" si="13"/>
        <v>212705.56593012495</v>
      </c>
      <c r="J49" s="5">
        <f t="shared" si="13"/>
        <v>212705.56593012495</v>
      </c>
      <c r="K49" s="5">
        <f t="shared" si="13"/>
        <v>212705.56593012495</v>
      </c>
      <c r="L49" s="5">
        <f t="shared" si="13"/>
        <v>212705.56593012495</v>
      </c>
      <c r="M49" s="5">
        <f t="shared" si="13"/>
        <v>212705.56593012495</v>
      </c>
      <c r="N49" s="5">
        <f t="shared" si="13"/>
        <v>212705.56593012495</v>
      </c>
      <c r="O49" s="5">
        <f t="shared" si="13"/>
        <v>212705.56593012495</v>
      </c>
      <c r="P49" s="5">
        <f t="shared" si="13"/>
        <v>212705.56593012495</v>
      </c>
      <c r="Q49" s="5">
        <f t="shared" si="13"/>
        <v>212705.56593012495</v>
      </c>
      <c r="R49" s="5">
        <f t="shared" si="13"/>
        <v>212705.56593012495</v>
      </c>
      <c r="S49" s="5">
        <f t="shared" si="13"/>
        <v>0</v>
      </c>
      <c r="T49" s="5">
        <f t="shared" si="13"/>
        <v>0</v>
      </c>
      <c r="U49" s="5">
        <f t="shared" si="13"/>
        <v>0</v>
      </c>
      <c r="V49" s="5">
        <f t="shared" si="13"/>
        <v>0</v>
      </c>
      <c r="W49" s="5">
        <f t="shared" si="13"/>
        <v>0</v>
      </c>
      <c r="X49" s="5">
        <f t="shared" si="13"/>
        <v>0</v>
      </c>
      <c r="Y49" s="5">
        <f t="shared" si="13"/>
        <v>0</v>
      </c>
      <c r="Z49" s="5">
        <f t="shared" si="13"/>
        <v>0</v>
      </c>
      <c r="AA49" s="5">
        <f t="shared" si="13"/>
        <v>0</v>
      </c>
      <c r="AB49" s="5">
        <f t="shared" si="13"/>
        <v>0</v>
      </c>
    </row>
    <row r="50" spans="1:28" x14ac:dyDescent="0.25">
      <c r="A50" s="4" t="s">
        <v>372</v>
      </c>
      <c r="B50" s="2" t="s">
        <v>225</v>
      </c>
      <c r="D50" s="5">
        <f t="shared" ref="D50:AB50" si="14">MAX(0,MIN(D49,D42+D46))</f>
        <v>212705.56593012495</v>
      </c>
      <c r="E50" s="5">
        <f t="shared" si="14"/>
        <v>212705.56593012495</v>
      </c>
      <c r="F50" s="5">
        <f t="shared" si="14"/>
        <v>212705.56593012495</v>
      </c>
      <c r="G50" s="5">
        <f t="shared" si="14"/>
        <v>212705.56593012495</v>
      </c>
      <c r="H50" s="5">
        <f t="shared" si="14"/>
        <v>212705.56593012495</v>
      </c>
      <c r="I50" s="5">
        <f t="shared" si="14"/>
        <v>212705.56593012495</v>
      </c>
      <c r="J50" s="5">
        <f t="shared" si="14"/>
        <v>212705.56593012495</v>
      </c>
      <c r="K50" s="5">
        <f t="shared" si="14"/>
        <v>212705.56593012495</v>
      </c>
      <c r="L50" s="5">
        <f t="shared" si="14"/>
        <v>212705.56593012495</v>
      </c>
      <c r="M50" s="5">
        <f t="shared" si="14"/>
        <v>212705.56593012495</v>
      </c>
      <c r="N50" s="5">
        <f t="shared" si="14"/>
        <v>212705.56593012495</v>
      </c>
      <c r="O50" s="5">
        <f t="shared" si="14"/>
        <v>212705.56593012495</v>
      </c>
      <c r="P50" s="5">
        <f t="shared" si="14"/>
        <v>212705.56593012495</v>
      </c>
      <c r="Q50" s="5">
        <f t="shared" si="14"/>
        <v>212705.56593012495</v>
      </c>
      <c r="R50" s="5">
        <f t="shared" si="14"/>
        <v>212705.56593012495</v>
      </c>
      <c r="S50" s="5">
        <f t="shared" si="14"/>
        <v>0</v>
      </c>
      <c r="T50" s="5">
        <f t="shared" si="14"/>
        <v>0</v>
      </c>
      <c r="U50" s="5">
        <f t="shared" si="14"/>
        <v>0</v>
      </c>
      <c r="V50" s="5">
        <f t="shared" si="14"/>
        <v>0</v>
      </c>
      <c r="W50" s="5">
        <f t="shared" si="14"/>
        <v>0</v>
      </c>
      <c r="X50" s="5">
        <f t="shared" si="14"/>
        <v>0</v>
      </c>
      <c r="Y50" s="5">
        <f t="shared" si="14"/>
        <v>0</v>
      </c>
      <c r="Z50" s="5">
        <f t="shared" si="14"/>
        <v>0</v>
      </c>
      <c r="AA50" s="5">
        <f t="shared" si="14"/>
        <v>0</v>
      </c>
      <c r="AB50" s="5">
        <f t="shared" si="14"/>
        <v>0</v>
      </c>
    </row>
    <row r="51" spans="1:28" x14ac:dyDescent="0.25">
      <c r="A51" s="4" t="s">
        <v>373</v>
      </c>
      <c r="B51" s="2" t="s">
        <v>225</v>
      </c>
      <c r="D51" s="5">
        <f>'Sources &amp; Uses'!$C$7</f>
        <v>106352.78296506248</v>
      </c>
      <c r="E51" s="5">
        <f t="shared" ref="E51:AB51" si="15">D58</f>
        <v>106352.78296506248</v>
      </c>
      <c r="F51" s="5">
        <f t="shared" si="15"/>
        <v>106352.78296506248</v>
      </c>
      <c r="G51" s="5">
        <f t="shared" si="15"/>
        <v>106352.78296506248</v>
      </c>
      <c r="H51" s="5">
        <f t="shared" si="15"/>
        <v>106352.78296506248</v>
      </c>
      <c r="I51" s="5">
        <f t="shared" si="15"/>
        <v>106352.78296506248</v>
      </c>
      <c r="J51" s="5">
        <f t="shared" si="15"/>
        <v>106352.78296506248</v>
      </c>
      <c r="K51" s="5">
        <f t="shared" si="15"/>
        <v>106352.78296506248</v>
      </c>
      <c r="L51" s="5">
        <f t="shared" si="15"/>
        <v>106352.78296506248</v>
      </c>
      <c r="M51" s="5">
        <f t="shared" si="15"/>
        <v>106352.78296506248</v>
      </c>
      <c r="N51" s="5">
        <f t="shared" si="15"/>
        <v>106352.78296506248</v>
      </c>
      <c r="O51" s="5">
        <f t="shared" si="15"/>
        <v>106352.78296506248</v>
      </c>
      <c r="P51" s="5">
        <f t="shared" si="15"/>
        <v>106352.78296506248</v>
      </c>
      <c r="Q51" s="5">
        <f t="shared" si="15"/>
        <v>106352.78296506248</v>
      </c>
      <c r="R51" s="5">
        <f t="shared" si="15"/>
        <v>106352.78296506248</v>
      </c>
      <c r="S51" s="5">
        <f t="shared" si="15"/>
        <v>0</v>
      </c>
      <c r="T51" s="5">
        <f t="shared" si="15"/>
        <v>0</v>
      </c>
      <c r="U51" s="5">
        <f t="shared" si="15"/>
        <v>0</v>
      </c>
      <c r="V51" s="5">
        <f t="shared" si="15"/>
        <v>0</v>
      </c>
      <c r="W51" s="5">
        <f t="shared" si="15"/>
        <v>0</v>
      </c>
      <c r="X51" s="5">
        <f t="shared" si="15"/>
        <v>0</v>
      </c>
      <c r="Y51" s="5">
        <f t="shared" si="15"/>
        <v>0</v>
      </c>
      <c r="Z51" s="5">
        <f t="shared" si="15"/>
        <v>0</v>
      </c>
      <c r="AA51" s="5">
        <f t="shared" si="15"/>
        <v>0</v>
      </c>
      <c r="AB51" s="5">
        <f t="shared" si="15"/>
        <v>0</v>
      </c>
    </row>
    <row r="52" spans="1:28" x14ac:dyDescent="0.25">
      <c r="A52" s="4" t="s">
        <v>374</v>
      </c>
      <c r="B52" s="2" t="s">
        <v>225</v>
      </c>
      <c r="D52" s="5">
        <f t="shared" ref="D52:AB52" si="16">MAX(0,MIN(D49-D50,D51))</f>
        <v>0</v>
      </c>
      <c r="E52" s="5">
        <f t="shared" si="16"/>
        <v>0</v>
      </c>
      <c r="F52" s="5">
        <f t="shared" si="16"/>
        <v>0</v>
      </c>
      <c r="G52" s="5">
        <f t="shared" si="16"/>
        <v>0</v>
      </c>
      <c r="H52" s="5">
        <f t="shared" si="16"/>
        <v>0</v>
      </c>
      <c r="I52" s="5">
        <f t="shared" si="16"/>
        <v>0</v>
      </c>
      <c r="J52" s="5">
        <f t="shared" si="16"/>
        <v>0</v>
      </c>
      <c r="K52" s="5">
        <f t="shared" si="16"/>
        <v>0</v>
      </c>
      <c r="L52" s="5">
        <f t="shared" si="16"/>
        <v>0</v>
      </c>
      <c r="M52" s="5">
        <f t="shared" si="16"/>
        <v>0</v>
      </c>
      <c r="N52" s="5">
        <f t="shared" si="16"/>
        <v>0</v>
      </c>
      <c r="O52" s="5">
        <f t="shared" si="16"/>
        <v>0</v>
      </c>
      <c r="P52" s="5">
        <f t="shared" si="16"/>
        <v>0</v>
      </c>
      <c r="Q52" s="5">
        <f t="shared" si="16"/>
        <v>0</v>
      </c>
      <c r="R52" s="5">
        <f t="shared" si="16"/>
        <v>0</v>
      </c>
      <c r="S52" s="5">
        <f t="shared" si="16"/>
        <v>0</v>
      </c>
      <c r="T52" s="5">
        <f t="shared" si="16"/>
        <v>0</v>
      </c>
      <c r="U52" s="5">
        <f t="shared" si="16"/>
        <v>0</v>
      </c>
      <c r="V52" s="5">
        <f t="shared" si="16"/>
        <v>0</v>
      </c>
      <c r="W52" s="5">
        <f t="shared" si="16"/>
        <v>0</v>
      </c>
      <c r="X52" s="5">
        <f t="shared" si="16"/>
        <v>0</v>
      </c>
      <c r="Y52" s="5">
        <f t="shared" si="16"/>
        <v>0</v>
      </c>
      <c r="Z52" s="5">
        <f t="shared" si="16"/>
        <v>0</v>
      </c>
      <c r="AA52" s="5">
        <f t="shared" si="16"/>
        <v>0</v>
      </c>
      <c r="AB52" s="5">
        <f t="shared" si="16"/>
        <v>0</v>
      </c>
    </row>
    <row r="53" spans="1:28" x14ac:dyDescent="0.25">
      <c r="A53" s="3" t="s">
        <v>375</v>
      </c>
      <c r="B53" s="2" t="s">
        <v>225</v>
      </c>
      <c r="D53" s="25">
        <f t="shared" ref="D53:AB53" si="17">MAX(0,D49-D50-D52)</f>
        <v>0</v>
      </c>
      <c r="E53" s="25">
        <f t="shared" si="17"/>
        <v>0</v>
      </c>
      <c r="F53" s="25">
        <f t="shared" si="17"/>
        <v>0</v>
      </c>
      <c r="G53" s="25">
        <f t="shared" si="17"/>
        <v>0</v>
      </c>
      <c r="H53" s="25">
        <f t="shared" si="17"/>
        <v>0</v>
      </c>
      <c r="I53" s="25">
        <f t="shared" si="17"/>
        <v>0</v>
      </c>
      <c r="J53" s="25">
        <f t="shared" si="17"/>
        <v>0</v>
      </c>
      <c r="K53" s="25">
        <f t="shared" si="17"/>
        <v>0</v>
      </c>
      <c r="L53" s="25">
        <f t="shared" si="17"/>
        <v>0</v>
      </c>
      <c r="M53" s="25">
        <f t="shared" si="17"/>
        <v>0</v>
      </c>
      <c r="N53" s="25">
        <f t="shared" si="17"/>
        <v>0</v>
      </c>
      <c r="O53" s="25">
        <f t="shared" si="17"/>
        <v>0</v>
      </c>
      <c r="P53" s="25">
        <f t="shared" si="17"/>
        <v>0</v>
      </c>
      <c r="Q53" s="25">
        <f t="shared" si="17"/>
        <v>0</v>
      </c>
      <c r="R53" s="25">
        <f t="shared" si="17"/>
        <v>0</v>
      </c>
      <c r="S53" s="25">
        <f t="shared" si="17"/>
        <v>0</v>
      </c>
      <c r="T53" s="25">
        <f t="shared" si="17"/>
        <v>0</v>
      </c>
      <c r="U53" s="25">
        <f t="shared" si="17"/>
        <v>0</v>
      </c>
      <c r="V53" s="25">
        <f t="shared" si="17"/>
        <v>0</v>
      </c>
      <c r="W53" s="25">
        <f t="shared" si="17"/>
        <v>0</v>
      </c>
      <c r="X53" s="25">
        <f t="shared" si="17"/>
        <v>0</v>
      </c>
      <c r="Y53" s="25">
        <f t="shared" si="17"/>
        <v>0</v>
      </c>
      <c r="Z53" s="25">
        <f t="shared" si="17"/>
        <v>0</v>
      </c>
      <c r="AA53" s="25">
        <f t="shared" si="17"/>
        <v>0</v>
      </c>
      <c r="AB53" s="25">
        <f t="shared" si="17"/>
        <v>0</v>
      </c>
    </row>
    <row r="54" spans="1:28" x14ac:dyDescent="0.25">
      <c r="A54" s="3" t="s">
        <v>376</v>
      </c>
      <c r="B54" s="2" t="s">
        <v>225</v>
      </c>
      <c r="D54" s="25">
        <f t="shared" ref="D54:AB54" si="18">MIN(D44,D53)</f>
        <v>0</v>
      </c>
      <c r="E54" s="25">
        <f t="shared" si="18"/>
        <v>0</v>
      </c>
      <c r="F54" s="25">
        <f t="shared" si="18"/>
        <v>0</v>
      </c>
      <c r="G54" s="25">
        <f t="shared" si="18"/>
        <v>0</v>
      </c>
      <c r="H54" s="25">
        <f t="shared" si="18"/>
        <v>0</v>
      </c>
      <c r="I54" s="25">
        <f t="shared" si="18"/>
        <v>0</v>
      </c>
      <c r="J54" s="25">
        <f t="shared" si="18"/>
        <v>0</v>
      </c>
      <c r="K54" s="25">
        <f t="shared" si="18"/>
        <v>0</v>
      </c>
      <c r="L54" s="25">
        <f t="shared" si="18"/>
        <v>0</v>
      </c>
      <c r="M54" s="25">
        <f t="shared" si="18"/>
        <v>0</v>
      </c>
      <c r="N54" s="25">
        <f t="shared" si="18"/>
        <v>0</v>
      </c>
      <c r="O54" s="25">
        <f t="shared" si="18"/>
        <v>0</v>
      </c>
      <c r="P54" s="25">
        <f t="shared" si="18"/>
        <v>0</v>
      </c>
      <c r="Q54" s="25">
        <f t="shared" si="18"/>
        <v>0</v>
      </c>
      <c r="R54" s="25">
        <f t="shared" si="18"/>
        <v>0</v>
      </c>
      <c r="S54" s="25">
        <f t="shared" si="18"/>
        <v>0</v>
      </c>
      <c r="T54" s="25">
        <f t="shared" si="18"/>
        <v>0</v>
      </c>
      <c r="U54" s="25">
        <f t="shared" si="18"/>
        <v>0</v>
      </c>
      <c r="V54" s="25">
        <f t="shared" si="18"/>
        <v>0</v>
      </c>
      <c r="W54" s="25">
        <f t="shared" si="18"/>
        <v>0</v>
      </c>
      <c r="X54" s="25">
        <f t="shared" si="18"/>
        <v>0</v>
      </c>
      <c r="Y54" s="25">
        <f t="shared" si="18"/>
        <v>0</v>
      </c>
      <c r="Z54" s="25">
        <f t="shared" si="18"/>
        <v>0</v>
      </c>
      <c r="AA54" s="25">
        <f t="shared" si="18"/>
        <v>0</v>
      </c>
      <c r="AB54" s="25">
        <f t="shared" si="18"/>
        <v>0</v>
      </c>
    </row>
    <row r="55" spans="1:28" x14ac:dyDescent="0.25">
      <c r="A55" s="4" t="s">
        <v>377</v>
      </c>
      <c r="B55" s="2" t="s">
        <v>225</v>
      </c>
      <c r="D55" s="5">
        <f>Inputs!$C$58/12*E44</f>
        <v>106352.78296506248</v>
      </c>
      <c r="E55" s="5">
        <f>Inputs!$C$58/12*F44</f>
        <v>106352.78296506248</v>
      </c>
      <c r="F55" s="5">
        <f>Inputs!$C$58/12*G44</f>
        <v>106352.78296506248</v>
      </c>
      <c r="G55" s="5">
        <f>Inputs!$C$58/12*H44</f>
        <v>106352.78296506248</v>
      </c>
      <c r="H55" s="5">
        <f>Inputs!$C$58/12*I44</f>
        <v>106352.78296506248</v>
      </c>
      <c r="I55" s="5">
        <f>Inputs!$C$58/12*J44</f>
        <v>106352.78296506248</v>
      </c>
      <c r="J55" s="5">
        <f>Inputs!$C$58/12*K44</f>
        <v>106352.78296506248</v>
      </c>
      <c r="K55" s="5">
        <f>Inputs!$C$58/12*L44</f>
        <v>106352.78296506248</v>
      </c>
      <c r="L55" s="5">
        <f>Inputs!$C$58/12*M44</f>
        <v>106352.78296506248</v>
      </c>
      <c r="M55" s="5">
        <f>Inputs!$C$58/12*N44</f>
        <v>106352.78296506248</v>
      </c>
      <c r="N55" s="5">
        <f>Inputs!$C$58/12*O44</f>
        <v>106352.78296506248</v>
      </c>
      <c r="O55" s="5">
        <f>Inputs!$C$58/12*P44</f>
        <v>106352.78296506248</v>
      </c>
      <c r="P55" s="5">
        <f>Inputs!$C$58/12*Q44</f>
        <v>106352.78296506248</v>
      </c>
      <c r="Q55" s="5">
        <f>Inputs!$C$58/12*R44</f>
        <v>106352.78296506248</v>
      </c>
      <c r="R55" s="5">
        <f>Inputs!$C$58/12*S44</f>
        <v>0</v>
      </c>
      <c r="S55" s="5">
        <f>Inputs!$C$58/12*T44</f>
        <v>0</v>
      </c>
      <c r="T55" s="5">
        <f>Inputs!$C$58/12*U44</f>
        <v>0</v>
      </c>
      <c r="U55" s="5">
        <f>Inputs!$C$58/12*V44</f>
        <v>0</v>
      </c>
      <c r="V55" s="5">
        <f>Inputs!$C$58/12*W44</f>
        <v>0</v>
      </c>
      <c r="W55" s="5">
        <f>Inputs!$C$58/12*X44</f>
        <v>0</v>
      </c>
      <c r="X55" s="5">
        <f>Inputs!$C$58/12*Y44</f>
        <v>0</v>
      </c>
      <c r="Y55" s="5">
        <f>Inputs!$C$58/12*Z44</f>
        <v>0</v>
      </c>
      <c r="Z55" s="5">
        <f>Inputs!$C$58/12*AA44</f>
        <v>0</v>
      </c>
      <c r="AA55" s="5">
        <f>Inputs!$C$58/12*AB44</f>
        <v>0</v>
      </c>
      <c r="AB55" s="5">
        <f>0</f>
        <v>0</v>
      </c>
    </row>
    <row r="56" spans="1:28" x14ac:dyDescent="0.25">
      <c r="A56" s="4" t="s">
        <v>378</v>
      </c>
      <c r="B56" s="2" t="s">
        <v>225</v>
      </c>
      <c r="D56" s="5">
        <f t="shared" ref="D56:AB56" si="19">MAX(0,MIN(D42+D46-D50,MAX(0,D55-(D51-D52))))</f>
        <v>0</v>
      </c>
      <c r="E56" s="5">
        <f t="shared" si="19"/>
        <v>0</v>
      </c>
      <c r="F56" s="5">
        <f t="shared" si="19"/>
        <v>0</v>
      </c>
      <c r="G56" s="5">
        <f t="shared" si="19"/>
        <v>0</v>
      </c>
      <c r="H56" s="5">
        <f t="shared" si="19"/>
        <v>0</v>
      </c>
      <c r="I56" s="5">
        <f t="shared" si="19"/>
        <v>0</v>
      </c>
      <c r="J56" s="5">
        <f t="shared" si="19"/>
        <v>0</v>
      </c>
      <c r="K56" s="5">
        <f t="shared" si="19"/>
        <v>0</v>
      </c>
      <c r="L56" s="5">
        <f t="shared" si="19"/>
        <v>0</v>
      </c>
      <c r="M56" s="5">
        <f t="shared" si="19"/>
        <v>0</v>
      </c>
      <c r="N56" s="5">
        <f t="shared" si="19"/>
        <v>0</v>
      </c>
      <c r="O56" s="5">
        <f t="shared" si="19"/>
        <v>0</v>
      </c>
      <c r="P56" s="5">
        <f t="shared" si="19"/>
        <v>0</v>
      </c>
      <c r="Q56" s="5">
        <f t="shared" si="19"/>
        <v>0</v>
      </c>
      <c r="R56" s="5">
        <f t="shared" si="19"/>
        <v>0</v>
      </c>
      <c r="S56" s="5">
        <f t="shared" si="19"/>
        <v>0</v>
      </c>
      <c r="T56" s="5">
        <f t="shared" si="19"/>
        <v>0</v>
      </c>
      <c r="U56" s="5">
        <f t="shared" si="19"/>
        <v>0</v>
      </c>
      <c r="V56" s="5">
        <f t="shared" si="19"/>
        <v>0</v>
      </c>
      <c r="W56" s="5">
        <f t="shared" si="19"/>
        <v>0</v>
      </c>
      <c r="X56" s="5">
        <f t="shared" si="19"/>
        <v>0</v>
      </c>
      <c r="Y56" s="5">
        <f t="shared" si="19"/>
        <v>0</v>
      </c>
      <c r="Z56" s="5">
        <f t="shared" si="19"/>
        <v>0</v>
      </c>
      <c r="AA56" s="5">
        <f t="shared" si="19"/>
        <v>0</v>
      </c>
      <c r="AB56" s="5">
        <f t="shared" si="19"/>
        <v>0</v>
      </c>
    </row>
    <row r="57" spans="1:28" x14ac:dyDescent="0.25">
      <c r="A57" s="4" t="s">
        <v>379</v>
      </c>
      <c r="B57" s="2" t="s">
        <v>225</v>
      </c>
      <c r="D57" s="5">
        <f t="shared" ref="D57:AB57" si="20">MAX(0,(D51-D52)-D55)</f>
        <v>0</v>
      </c>
      <c r="E57" s="5">
        <f t="shared" si="20"/>
        <v>0</v>
      </c>
      <c r="F57" s="5">
        <f t="shared" si="20"/>
        <v>0</v>
      </c>
      <c r="G57" s="5">
        <f t="shared" si="20"/>
        <v>0</v>
      </c>
      <c r="H57" s="5">
        <f t="shared" si="20"/>
        <v>0</v>
      </c>
      <c r="I57" s="5">
        <f t="shared" si="20"/>
        <v>0</v>
      </c>
      <c r="J57" s="5">
        <f t="shared" si="20"/>
        <v>0</v>
      </c>
      <c r="K57" s="5">
        <f t="shared" si="20"/>
        <v>0</v>
      </c>
      <c r="L57" s="5">
        <f t="shared" si="20"/>
        <v>0</v>
      </c>
      <c r="M57" s="5">
        <f t="shared" si="20"/>
        <v>0</v>
      </c>
      <c r="N57" s="5">
        <f t="shared" si="20"/>
        <v>0</v>
      </c>
      <c r="O57" s="5">
        <f t="shared" si="20"/>
        <v>0</v>
      </c>
      <c r="P57" s="5">
        <f t="shared" si="20"/>
        <v>0</v>
      </c>
      <c r="Q57" s="5">
        <f t="shared" si="20"/>
        <v>0</v>
      </c>
      <c r="R57" s="5">
        <f t="shared" si="20"/>
        <v>106352.78296506248</v>
      </c>
      <c r="S57" s="5">
        <f t="shared" si="20"/>
        <v>0</v>
      </c>
      <c r="T57" s="5">
        <f t="shared" si="20"/>
        <v>0</v>
      </c>
      <c r="U57" s="5">
        <f t="shared" si="20"/>
        <v>0</v>
      </c>
      <c r="V57" s="5">
        <f t="shared" si="20"/>
        <v>0</v>
      </c>
      <c r="W57" s="5">
        <f t="shared" si="20"/>
        <v>0</v>
      </c>
      <c r="X57" s="5">
        <f t="shared" si="20"/>
        <v>0</v>
      </c>
      <c r="Y57" s="5">
        <f t="shared" si="20"/>
        <v>0</v>
      </c>
      <c r="Z57" s="5">
        <f t="shared" si="20"/>
        <v>0</v>
      </c>
      <c r="AA57" s="5">
        <f t="shared" si="20"/>
        <v>0</v>
      </c>
      <c r="AB57" s="5">
        <f t="shared" si="20"/>
        <v>0</v>
      </c>
    </row>
    <row r="58" spans="1:28" x14ac:dyDescent="0.25">
      <c r="A58" s="4" t="s">
        <v>380</v>
      </c>
      <c r="B58" s="2" t="s">
        <v>225</v>
      </c>
      <c r="D58" s="5">
        <f t="shared" ref="D58:AB58" si="21">D51-D52+D56-D57</f>
        <v>106352.78296506248</v>
      </c>
      <c r="E58" s="5">
        <f t="shared" si="21"/>
        <v>106352.78296506248</v>
      </c>
      <c r="F58" s="5">
        <f t="shared" si="21"/>
        <v>106352.78296506248</v>
      </c>
      <c r="G58" s="5">
        <f t="shared" si="21"/>
        <v>106352.78296506248</v>
      </c>
      <c r="H58" s="5">
        <f t="shared" si="21"/>
        <v>106352.78296506248</v>
      </c>
      <c r="I58" s="5">
        <f t="shared" si="21"/>
        <v>106352.78296506248</v>
      </c>
      <c r="J58" s="5">
        <f t="shared" si="21"/>
        <v>106352.78296506248</v>
      </c>
      <c r="K58" s="5">
        <f t="shared" si="21"/>
        <v>106352.78296506248</v>
      </c>
      <c r="L58" s="5">
        <f t="shared" si="21"/>
        <v>106352.78296506248</v>
      </c>
      <c r="M58" s="5">
        <f t="shared" si="21"/>
        <v>106352.78296506248</v>
      </c>
      <c r="N58" s="5">
        <f t="shared" si="21"/>
        <v>106352.78296506248</v>
      </c>
      <c r="O58" s="5">
        <f t="shared" si="21"/>
        <v>106352.78296506248</v>
      </c>
      <c r="P58" s="5">
        <f t="shared" si="21"/>
        <v>106352.78296506248</v>
      </c>
      <c r="Q58" s="5">
        <f t="shared" si="21"/>
        <v>106352.78296506248</v>
      </c>
      <c r="R58" s="5">
        <f t="shared" si="21"/>
        <v>0</v>
      </c>
      <c r="S58" s="5">
        <f t="shared" si="21"/>
        <v>0</v>
      </c>
      <c r="T58" s="5">
        <f t="shared" si="21"/>
        <v>0</v>
      </c>
      <c r="U58" s="5">
        <f t="shared" si="21"/>
        <v>0</v>
      </c>
      <c r="V58" s="5">
        <f t="shared" si="21"/>
        <v>0</v>
      </c>
      <c r="W58" s="5">
        <f t="shared" si="21"/>
        <v>0</v>
      </c>
      <c r="X58" s="5">
        <f t="shared" si="21"/>
        <v>0</v>
      </c>
      <c r="Y58" s="5">
        <f t="shared" si="21"/>
        <v>0</v>
      </c>
      <c r="Z58" s="5">
        <f t="shared" si="21"/>
        <v>0</v>
      </c>
      <c r="AA58" s="5">
        <f t="shared" si="21"/>
        <v>0</v>
      </c>
      <c r="AB58" s="5">
        <f t="shared" si="21"/>
        <v>0</v>
      </c>
    </row>
    <row r="59" spans="1:28" x14ac:dyDescent="0.25">
      <c r="A59" s="4" t="s">
        <v>381</v>
      </c>
      <c r="B59" s="2" t="s">
        <v>225</v>
      </c>
      <c r="D59" s="5">
        <f t="shared" ref="D59:AB59" si="22">D42+D46-D50-D56+D57</f>
        <v>137986.67015504971</v>
      </c>
      <c r="E59" s="5">
        <f t="shared" si="22"/>
        <v>137859.75112539902</v>
      </c>
      <c r="F59" s="5">
        <f t="shared" si="22"/>
        <v>136594.61690726667</v>
      </c>
      <c r="G59" s="5">
        <f t="shared" si="22"/>
        <v>135098.66450915043</v>
      </c>
      <c r="H59" s="5">
        <f t="shared" si="22"/>
        <v>39672.607518476812</v>
      </c>
      <c r="I59" s="5">
        <f t="shared" si="22"/>
        <v>34946.500076420343</v>
      </c>
      <c r="J59" s="5">
        <f t="shared" si="22"/>
        <v>30120.622017171874</v>
      </c>
      <c r="K59" s="5">
        <f t="shared" si="22"/>
        <v>25191.251094435371</v>
      </c>
      <c r="L59" s="5">
        <f t="shared" si="22"/>
        <v>20154.490155516018</v>
      </c>
      <c r="M59" s="5">
        <f t="shared" si="22"/>
        <v>35059.974770803819</v>
      </c>
      <c r="N59" s="5">
        <f t="shared" si="22"/>
        <v>44626.948902947159</v>
      </c>
      <c r="O59" s="5">
        <f t="shared" si="22"/>
        <v>48761.870254652487</v>
      </c>
      <c r="P59" s="5">
        <f t="shared" si="22"/>
        <v>47366.960216598585</v>
      </c>
      <c r="Q59" s="5">
        <f t="shared" si="22"/>
        <v>40339.993061259418</v>
      </c>
      <c r="R59" s="5">
        <f t="shared" si="22"/>
        <v>133926.85550589758</v>
      </c>
      <c r="S59" s="5">
        <f t="shared" si="22"/>
        <v>164337.72345333153</v>
      </c>
      <c r="T59" s="5">
        <f t="shared" si="22"/>
        <v>27383.956718456087</v>
      </c>
      <c r="U59" s="5">
        <f t="shared" si="22"/>
        <v>23612.032924022555</v>
      </c>
      <c r="V59" s="5">
        <f t="shared" si="22"/>
        <v>19763.133065415634</v>
      </c>
      <c r="W59" s="5">
        <f t="shared" si="22"/>
        <v>15835.627771704865</v>
      </c>
      <c r="X59" s="5">
        <f t="shared" si="22"/>
        <v>8469.5463494714804</v>
      </c>
      <c r="Y59" s="5">
        <f t="shared" si="22"/>
        <v>4442.4719810478637</v>
      </c>
      <c r="Z59" s="5">
        <f t="shared" si="22"/>
        <v>351.68478643744345</v>
      </c>
      <c r="AA59" s="5">
        <f t="shared" si="22"/>
        <v>-4829.1768100989284</v>
      </c>
      <c r="AB59" s="5">
        <f t="shared" si="22"/>
        <v>-10375.300706925773</v>
      </c>
    </row>
    <row r="60" spans="1:28" x14ac:dyDescent="0.25">
      <c r="A60" s="4" t="s">
        <v>382</v>
      </c>
      <c r="B60" s="2" t="s">
        <v>225</v>
      </c>
      <c r="D60" s="5">
        <f>IF(AND(D53&lt;0.5,IF(D44&gt;0,D42/D44,99)&gt;=Inputs!$C$59),D59,0)</f>
        <v>137986.67015504971</v>
      </c>
      <c r="E60" s="5">
        <f>IF(AND(E53&lt;0.5,IF(E44&gt;0,E42/E44,99)&gt;=Inputs!$C$59),E59,0)</f>
        <v>137859.75112539902</v>
      </c>
      <c r="F60" s="5">
        <f>IF(AND(F53&lt;0.5,IF(F44&gt;0,F42/F44,99)&gt;=Inputs!$C$59),F59,0)</f>
        <v>136594.61690726667</v>
      </c>
      <c r="G60" s="5">
        <f>IF(AND(G53&lt;0.5,IF(G44&gt;0,G42/G44,99)&gt;=Inputs!$C$59),G59,0)</f>
        <v>135098.66450915043</v>
      </c>
      <c r="H60" s="5">
        <f>IF(AND(H53&lt;0.5,IF(H44&gt;0,H42/H44,99)&gt;=Inputs!$C$59),H59,0)</f>
        <v>39672.607518476812</v>
      </c>
      <c r="I60" s="5">
        <f>IF(AND(I53&lt;0.5,IF(I44&gt;0,I42/I44,99)&gt;=Inputs!$C$59),I59,0)</f>
        <v>34946.500076420343</v>
      </c>
      <c r="J60" s="5">
        <f>IF(AND(J53&lt;0.5,IF(J44&gt;0,J42/J44,99)&gt;=Inputs!$C$59),J59,0)</f>
        <v>30120.622017171874</v>
      </c>
      <c r="K60" s="5">
        <f>IF(AND(K53&lt;0.5,IF(K44&gt;0,K42/K44,99)&gt;=Inputs!$C$59),K59,0)</f>
        <v>25191.251094435371</v>
      </c>
      <c r="L60" s="5">
        <f>IF(AND(L53&lt;0.5,IF(L44&gt;0,L42/L44,99)&gt;=Inputs!$C$59),L59,0)</f>
        <v>0</v>
      </c>
      <c r="M60" s="5">
        <f>IF(AND(M53&lt;0.5,IF(M44&gt;0,M42/M44,99)&gt;=Inputs!$C$59),M59,0)</f>
        <v>0</v>
      </c>
      <c r="N60" s="5">
        <f>IF(AND(N53&lt;0.5,IF(N44&gt;0,N42/N44,99)&gt;=Inputs!$C$59),N59,0)</f>
        <v>0</v>
      </c>
      <c r="O60" s="5">
        <f>IF(AND(O53&lt;0.5,IF(O44&gt;0,O42/O44,99)&gt;=Inputs!$C$59),O59,0)</f>
        <v>0</v>
      </c>
      <c r="P60" s="5">
        <f>IF(AND(P53&lt;0.5,IF(P44&gt;0,P42/P44,99)&gt;=Inputs!$C$59),P59,0)</f>
        <v>0</v>
      </c>
      <c r="Q60" s="5">
        <f>IF(AND(Q53&lt;0.5,IF(Q44&gt;0,Q42/Q44,99)&gt;=Inputs!$C$59),Q59,0)</f>
        <v>0</v>
      </c>
      <c r="R60" s="5">
        <f>IF(AND(R53&lt;0.5,IF(R44&gt;0,R42/R44,99)&gt;=Inputs!$C$59),R59,0)</f>
        <v>0</v>
      </c>
      <c r="S60" s="5">
        <f>IF(AND(S53&lt;0.5,IF(S44&gt;0,S42/S44,99)&gt;=Inputs!$C$59),S59,0)</f>
        <v>164337.72345333153</v>
      </c>
      <c r="T60" s="5">
        <f>IF(AND(T53&lt;0.5,IF(T44&gt;0,T42/T44,99)&gt;=Inputs!$C$59),T59,0)</f>
        <v>27383.956718456087</v>
      </c>
      <c r="U60" s="5">
        <f>IF(AND(U53&lt;0.5,IF(U44&gt;0,U42/U44,99)&gt;=Inputs!$C$59),U59,0)</f>
        <v>23612.032924022555</v>
      </c>
      <c r="V60" s="5">
        <f>IF(AND(V53&lt;0.5,IF(V44&gt;0,V42/V44,99)&gt;=Inputs!$C$59),V59,0)</f>
        <v>19763.133065415634</v>
      </c>
      <c r="W60" s="5">
        <f>IF(AND(W53&lt;0.5,IF(W44&gt;0,W42/W44,99)&gt;=Inputs!$C$59),W59,0)</f>
        <v>15835.627771704865</v>
      </c>
      <c r="X60" s="5">
        <f>IF(AND(X53&lt;0.5,IF(X44&gt;0,X42/X44,99)&gt;=Inputs!$C$59),X59,0)</f>
        <v>8469.5463494714804</v>
      </c>
      <c r="Y60" s="5">
        <f>IF(AND(Y53&lt;0.5,IF(Y44&gt;0,Y42/Y44,99)&gt;=Inputs!$C$59),Y59,0)</f>
        <v>4442.4719810478637</v>
      </c>
      <c r="Z60" s="5">
        <f>IF(AND(Z53&lt;0.5,IF(Z44&gt;0,Z42/Z44,99)&gt;=Inputs!$C$59),Z59,0)</f>
        <v>351.68478643744345</v>
      </c>
      <c r="AA60" s="5">
        <f>IF(AND(AA53&lt;0.5,IF(AA44&gt;0,AA42/AA44,99)&gt;=Inputs!$C$59),AA59,0)</f>
        <v>-4829.1768100989284</v>
      </c>
      <c r="AB60" s="5">
        <f>IF(AND(AB53&lt;0.5,IF(AB44&gt;0,AB42/AB44,99)&gt;=Inputs!$C$59),AB59,0)</f>
        <v>-10375.300706925773</v>
      </c>
    </row>
    <row r="61" spans="1:28" x14ac:dyDescent="0.25">
      <c r="A61" s="4" t="s">
        <v>383</v>
      </c>
      <c r="B61" s="2" t="s">
        <v>225</v>
      </c>
      <c r="D61" s="5">
        <f t="shared" ref="D61:AB61" si="23">D59-D60</f>
        <v>0</v>
      </c>
      <c r="E61" s="5">
        <f t="shared" si="23"/>
        <v>0</v>
      </c>
      <c r="F61" s="5">
        <f t="shared" si="23"/>
        <v>0</v>
      </c>
      <c r="G61" s="5">
        <f t="shared" si="23"/>
        <v>0</v>
      </c>
      <c r="H61" s="5">
        <f t="shared" si="23"/>
        <v>0</v>
      </c>
      <c r="I61" s="5">
        <f t="shared" si="23"/>
        <v>0</v>
      </c>
      <c r="J61" s="5">
        <f t="shared" si="23"/>
        <v>0</v>
      </c>
      <c r="K61" s="5">
        <f t="shared" si="23"/>
        <v>0</v>
      </c>
      <c r="L61" s="5">
        <f t="shared" si="23"/>
        <v>20154.490155516018</v>
      </c>
      <c r="M61" s="5">
        <f t="shared" si="23"/>
        <v>35059.974770803819</v>
      </c>
      <c r="N61" s="5">
        <f t="shared" si="23"/>
        <v>44626.948902947159</v>
      </c>
      <c r="O61" s="5">
        <f t="shared" si="23"/>
        <v>48761.870254652487</v>
      </c>
      <c r="P61" s="5">
        <f t="shared" si="23"/>
        <v>47366.960216598585</v>
      </c>
      <c r="Q61" s="5">
        <f t="shared" si="23"/>
        <v>40339.993061259418</v>
      </c>
      <c r="R61" s="5">
        <f t="shared" si="23"/>
        <v>133926.85550589758</v>
      </c>
      <c r="S61" s="5">
        <f t="shared" si="23"/>
        <v>0</v>
      </c>
      <c r="T61" s="5">
        <f t="shared" si="23"/>
        <v>0</v>
      </c>
      <c r="U61" s="5">
        <f t="shared" si="23"/>
        <v>0</v>
      </c>
      <c r="V61" s="5">
        <f t="shared" si="23"/>
        <v>0</v>
      </c>
      <c r="W61" s="5">
        <f t="shared" si="23"/>
        <v>0</v>
      </c>
      <c r="X61" s="5">
        <f t="shared" si="23"/>
        <v>0</v>
      </c>
      <c r="Y61" s="5">
        <f t="shared" si="23"/>
        <v>0</v>
      </c>
      <c r="Z61" s="5">
        <f t="shared" si="23"/>
        <v>0</v>
      </c>
      <c r="AA61" s="5">
        <f t="shared" si="23"/>
        <v>0</v>
      </c>
      <c r="AB61" s="5">
        <f t="shared" si="23"/>
        <v>0</v>
      </c>
    </row>
    <row r="62" spans="1:28" x14ac:dyDescent="0.25">
      <c r="A62" s="31" t="s">
        <v>384</v>
      </c>
    </row>
    <row r="63" spans="1:28" x14ac:dyDescent="0.25">
      <c r="A63" s="4" t="s">
        <v>385</v>
      </c>
      <c r="B63" s="2" t="s">
        <v>225</v>
      </c>
      <c r="C63" s="5">
        <f>-'Sources &amp; Uses'!$C$15</f>
        <v>-3106352.7829650622</v>
      </c>
      <c r="D63" s="5">
        <f>D60+IF(D$4=Inputs!$C$12,D61+D58,0)</f>
        <v>137986.67015504971</v>
      </c>
      <c r="E63" s="5">
        <f>E60+IF(E$4=Inputs!$C$12,E61+E58,0)</f>
        <v>137859.75112539902</v>
      </c>
      <c r="F63" s="5">
        <f>F60+IF(F$4=Inputs!$C$12,F61+F58,0)</f>
        <v>136594.61690726667</v>
      </c>
      <c r="G63" s="5">
        <f>G60+IF(G$4=Inputs!$C$12,G61+G58,0)</f>
        <v>135098.66450915043</v>
      </c>
      <c r="H63" s="5">
        <f>H60+IF(H$4=Inputs!$C$12,H61+H58,0)</f>
        <v>39672.607518476812</v>
      </c>
      <c r="I63" s="5">
        <f>I60+IF(I$4=Inputs!$C$12,I61+I58,0)</f>
        <v>34946.500076420343</v>
      </c>
      <c r="J63" s="5">
        <f>J60+IF(J$4=Inputs!$C$12,J61+J58,0)</f>
        <v>30120.622017171874</v>
      </c>
      <c r="K63" s="5">
        <f>K60+IF(K$4=Inputs!$C$12,K61+K58,0)</f>
        <v>25191.251094435371</v>
      </c>
      <c r="L63" s="5">
        <f>L60+IF(L$4=Inputs!$C$12,L61+L58,0)</f>
        <v>0</v>
      </c>
      <c r="M63" s="5">
        <f>M60+IF(M$4=Inputs!$C$12,M61+M58,0)</f>
        <v>0</v>
      </c>
      <c r="N63" s="5">
        <f>N60+IF(N$4=Inputs!$C$12,N61+N58,0)</f>
        <v>0</v>
      </c>
      <c r="O63" s="5">
        <f>O60+IF(O$4=Inputs!$C$12,O61+O58,0)</f>
        <v>0</v>
      </c>
      <c r="P63" s="5">
        <f>P60+IF(P$4=Inputs!$C$12,P61+P58,0)</f>
        <v>0</v>
      </c>
      <c r="Q63" s="5">
        <f>Q60+IF(Q$4=Inputs!$C$12,Q61+Q58,0)</f>
        <v>0</v>
      </c>
      <c r="R63" s="5">
        <f>R60+IF(R$4=Inputs!$C$12,R61+R58,0)</f>
        <v>0</v>
      </c>
      <c r="S63" s="5">
        <f>S60+IF(S$4=Inputs!$C$12,S61+S58,0)</f>
        <v>164337.72345333153</v>
      </c>
      <c r="T63" s="5">
        <f>T60+IF(T$4=Inputs!$C$12,T61+T58,0)</f>
        <v>27383.956718456087</v>
      </c>
      <c r="U63" s="5">
        <f>U60+IF(U$4=Inputs!$C$12,U61+U58,0)</f>
        <v>23612.032924022555</v>
      </c>
      <c r="V63" s="5">
        <f>V60+IF(V$4=Inputs!$C$12,V61+V58,0)</f>
        <v>19763.133065415634</v>
      </c>
      <c r="W63" s="5">
        <f>W60+IF(W$4=Inputs!$C$12,W61+W58,0)</f>
        <v>15835.627771704865</v>
      </c>
      <c r="X63" s="5">
        <f>X60+IF(X$4=Inputs!$C$12,X61+X58,0)</f>
        <v>8469.5463494714804</v>
      </c>
      <c r="Y63" s="5">
        <f>Y60+IF(Y$4=Inputs!$C$12,Y61+Y58,0)</f>
        <v>4442.4719810478637</v>
      </c>
      <c r="Z63" s="5">
        <f>Z60+IF(Z$4=Inputs!$C$12,Z61+Z58,0)</f>
        <v>351.68478643744345</v>
      </c>
      <c r="AA63" s="5">
        <f>AA60+IF(AA$4=Inputs!$C$12,AA61+AA58,0)</f>
        <v>-4829.1768100989284</v>
      </c>
      <c r="AB63" s="5">
        <f>AB60+IF(AB$4=Inputs!$C$12,AB61+AB58,0)</f>
        <v>-10375.300706925773</v>
      </c>
    </row>
    <row r="64" spans="1:28" x14ac:dyDescent="0.25">
      <c r="A64" s="4" t="s">
        <v>386</v>
      </c>
      <c r="B64" s="2" t="s">
        <v>225</v>
      </c>
      <c r="D64" s="5">
        <f>D9*(Inputs!$C$17*(1+Inputs!$C$18)^(D$4-1)-D16)</f>
        <v>49480.200000000026</v>
      </c>
      <c r="E64" s="5">
        <f>E9*(Inputs!$C$17*(1+Inputs!$C$18)^(E$4-1)-E16)</f>
        <v>49775.101992000018</v>
      </c>
      <c r="F64" s="5">
        <f>F9*(Inputs!$C$17*(1+Inputs!$C$18)^(F$4-1)-F16)</f>
        <v>50071.761599872363</v>
      </c>
      <c r="G64" s="5">
        <f>G9*(Inputs!$C$17*(1+Inputs!$C$18)^(G$4-1)-G16)</f>
        <v>50370.189299007579</v>
      </c>
      <c r="H64" s="5">
        <f>H9*(Inputs!$C$17*(1+Inputs!$C$18)^(H$4-1)-H16)</f>
        <v>0</v>
      </c>
      <c r="I64" s="5">
        <f>I9*(Inputs!$C$17*(1+Inputs!$C$18)^(I$4-1)-I16)</f>
        <v>0</v>
      </c>
      <c r="J64" s="5">
        <f>J9*(Inputs!$C$17*(1+Inputs!$C$18)^(J$4-1)-J16)</f>
        <v>0</v>
      </c>
      <c r="K64" s="5">
        <f>K9*(Inputs!$C$17*(1+Inputs!$C$18)^(K$4-1)-K16)</f>
        <v>0</v>
      </c>
      <c r="L64" s="5">
        <f>L9*(Inputs!$C$17*(1+Inputs!$C$18)^(L$4-1)-L16)</f>
        <v>0</v>
      </c>
      <c r="M64" s="5">
        <f>M9*(Inputs!$C$17*(1+Inputs!$C$18)^(M$4-1)-M16)</f>
        <v>0</v>
      </c>
      <c r="N64" s="5">
        <f>N9*(Inputs!$C$17*(1+Inputs!$C$18)^(N$4-1)-N16)</f>
        <v>0</v>
      </c>
      <c r="O64" s="5">
        <f>O9*(Inputs!$C$17*(1+Inputs!$C$18)^(O$4-1)-O16)</f>
        <v>0</v>
      </c>
      <c r="P64" s="5">
        <f>P9*(Inputs!$C$17*(1+Inputs!$C$18)^(P$4-1)-P16)</f>
        <v>0</v>
      </c>
      <c r="Q64" s="5">
        <f>Q9*(Inputs!$C$17*(1+Inputs!$C$18)^(Q$4-1)-Q16)</f>
        <v>0</v>
      </c>
      <c r="R64" s="5">
        <f>R9*(Inputs!$C$17*(1+Inputs!$C$18)^(R$4-1)-R16)</f>
        <v>0</v>
      </c>
      <c r="S64" s="5">
        <f>S9*(Inputs!$C$17*(1+Inputs!$C$18)^(S$4-1)-S16)</f>
        <v>0</v>
      </c>
      <c r="T64" s="5">
        <f>T9*(Inputs!$C$17*(1+Inputs!$C$18)^(T$4-1)-T16)</f>
        <v>0</v>
      </c>
      <c r="U64" s="5">
        <f>U9*(Inputs!$C$17*(1+Inputs!$C$18)^(U$4-1)-U16)</f>
        <v>0</v>
      </c>
      <c r="V64" s="5">
        <f>V9*(Inputs!$C$17*(1+Inputs!$C$18)^(V$4-1)-V16)</f>
        <v>0</v>
      </c>
      <c r="W64" s="5">
        <f>W9*(Inputs!$C$17*(1+Inputs!$C$18)^(W$4-1)-W16)</f>
        <v>0</v>
      </c>
      <c r="X64" s="5">
        <f>X9*(Inputs!$C$17*(1+Inputs!$C$18)^(X$4-1)-X16)</f>
        <v>0</v>
      </c>
      <c r="Y64" s="5">
        <f>Y9*(Inputs!$C$17*(1+Inputs!$C$18)^(Y$4-1)-Y16)</f>
        <v>0</v>
      </c>
      <c r="Z64" s="5">
        <f>Z9*(Inputs!$C$17*(1+Inputs!$C$18)^(Z$4-1)-Z16)</f>
        <v>0</v>
      </c>
      <c r="AA64" s="5">
        <f>AA9*(Inputs!$C$17*(1+Inputs!$C$18)^(AA$4-1)-AA16)</f>
        <v>0</v>
      </c>
      <c r="AB64" s="5">
        <f>AB9*(Inputs!$C$17*(1+Inputs!$C$18)^(AB$4-1)-AB16)</f>
        <v>0</v>
      </c>
    </row>
    <row r="65" spans="1:28" x14ac:dyDescent="0.25">
      <c r="A65" s="4" t="s">
        <v>387</v>
      </c>
      <c r="B65" s="2" t="s">
        <v>225</v>
      </c>
      <c r="C65" s="5">
        <f>C63</f>
        <v>-3106352.7829650622</v>
      </c>
      <c r="D65" s="5">
        <f t="shared" ref="D65:AB65" si="24">D63+D64</f>
        <v>187466.87015504972</v>
      </c>
      <c r="E65" s="5">
        <f t="shared" si="24"/>
        <v>187634.85311739903</v>
      </c>
      <c r="F65" s="5">
        <f t="shared" si="24"/>
        <v>186666.37850713904</v>
      </c>
      <c r="G65" s="5">
        <f t="shared" si="24"/>
        <v>185468.85380815802</v>
      </c>
      <c r="H65" s="5">
        <f t="shared" si="24"/>
        <v>39672.607518476812</v>
      </c>
      <c r="I65" s="5">
        <f t="shared" si="24"/>
        <v>34946.500076420343</v>
      </c>
      <c r="J65" s="5">
        <f t="shared" si="24"/>
        <v>30120.622017171874</v>
      </c>
      <c r="K65" s="5">
        <f t="shared" si="24"/>
        <v>25191.251094435371</v>
      </c>
      <c r="L65" s="5">
        <f t="shared" si="24"/>
        <v>0</v>
      </c>
      <c r="M65" s="5">
        <f t="shared" si="24"/>
        <v>0</v>
      </c>
      <c r="N65" s="5">
        <f t="shared" si="24"/>
        <v>0</v>
      </c>
      <c r="O65" s="5">
        <f t="shared" si="24"/>
        <v>0</v>
      </c>
      <c r="P65" s="5">
        <f t="shared" si="24"/>
        <v>0</v>
      </c>
      <c r="Q65" s="5">
        <f t="shared" si="24"/>
        <v>0</v>
      </c>
      <c r="R65" s="5">
        <f t="shared" si="24"/>
        <v>0</v>
      </c>
      <c r="S65" s="5">
        <f t="shared" si="24"/>
        <v>164337.72345333153</v>
      </c>
      <c r="T65" s="5">
        <f t="shared" si="24"/>
        <v>27383.956718456087</v>
      </c>
      <c r="U65" s="5">
        <f t="shared" si="24"/>
        <v>23612.032924022555</v>
      </c>
      <c r="V65" s="5">
        <f t="shared" si="24"/>
        <v>19763.133065415634</v>
      </c>
      <c r="W65" s="5">
        <f t="shared" si="24"/>
        <v>15835.627771704865</v>
      </c>
      <c r="X65" s="5">
        <f t="shared" si="24"/>
        <v>8469.5463494714804</v>
      </c>
      <c r="Y65" s="5">
        <f t="shared" si="24"/>
        <v>4442.4719810478637</v>
      </c>
      <c r="Z65" s="5">
        <f t="shared" si="24"/>
        <v>351.68478643744345</v>
      </c>
      <c r="AA65" s="5">
        <f t="shared" si="24"/>
        <v>-4829.1768100989284</v>
      </c>
      <c r="AB65" s="5">
        <f t="shared" si="24"/>
        <v>-10375.300706925773</v>
      </c>
    </row>
    <row r="66" spans="1:28" x14ac:dyDescent="0.25">
      <c r="A66" s="4" t="s">
        <v>388</v>
      </c>
      <c r="B66" s="2" t="s">
        <v>225</v>
      </c>
      <c r="D66" s="35">
        <f t="shared" ref="D66:AB66" si="25">IF(D44&gt;1,MAX(0,D44-D42),0)</f>
        <v>0</v>
      </c>
      <c r="E66" s="35">
        <f t="shared" si="25"/>
        <v>0</v>
      </c>
      <c r="F66" s="35">
        <f t="shared" si="25"/>
        <v>0</v>
      </c>
      <c r="G66" s="35">
        <f t="shared" si="25"/>
        <v>0</v>
      </c>
      <c r="H66" s="35">
        <f t="shared" si="25"/>
        <v>0</v>
      </c>
      <c r="I66" s="35">
        <f t="shared" si="25"/>
        <v>0</v>
      </c>
      <c r="J66" s="35">
        <f t="shared" si="25"/>
        <v>0</v>
      </c>
      <c r="K66" s="35">
        <f t="shared" si="25"/>
        <v>0</v>
      </c>
      <c r="L66" s="35">
        <f t="shared" si="25"/>
        <v>0</v>
      </c>
      <c r="M66" s="35">
        <f t="shared" si="25"/>
        <v>0</v>
      </c>
      <c r="N66" s="35">
        <f t="shared" si="25"/>
        <v>0</v>
      </c>
      <c r="O66" s="35">
        <f t="shared" si="25"/>
        <v>0</v>
      </c>
      <c r="P66" s="35">
        <f t="shared" si="25"/>
        <v>1394.9100380539021</v>
      </c>
      <c r="Q66" s="35">
        <f t="shared" si="25"/>
        <v>7026.9671553391672</v>
      </c>
      <c r="R66" s="35">
        <f t="shared" si="25"/>
        <v>12765.920520424319</v>
      </c>
      <c r="S66" s="35">
        <f t="shared" si="25"/>
        <v>0</v>
      </c>
      <c r="T66" s="35">
        <f t="shared" si="25"/>
        <v>0</v>
      </c>
      <c r="U66" s="35">
        <f t="shared" si="25"/>
        <v>0</v>
      </c>
      <c r="V66" s="35">
        <f t="shared" si="25"/>
        <v>0</v>
      </c>
      <c r="W66" s="35">
        <f t="shared" si="25"/>
        <v>0</v>
      </c>
      <c r="X66" s="35">
        <f t="shared" si="25"/>
        <v>0</v>
      </c>
      <c r="Y66" s="35">
        <f t="shared" si="25"/>
        <v>0</v>
      </c>
      <c r="Z66" s="35">
        <f t="shared" si="25"/>
        <v>0</v>
      </c>
      <c r="AA66" s="35">
        <f t="shared" si="25"/>
        <v>0</v>
      </c>
      <c r="AB66" s="35">
        <f t="shared" si="25"/>
        <v>0</v>
      </c>
    </row>
    <row r="67" spans="1:28" x14ac:dyDescent="0.25">
      <c r="A67" s="4" t="s">
        <v>389</v>
      </c>
      <c r="B67" s="2" t="s">
        <v>277</v>
      </c>
      <c r="D67" s="36">
        <f>IF(AND(D44&gt;1,D42&lt;Inputs!$C$59*D44),D$4,999)</f>
        <v>999</v>
      </c>
      <c r="E67" s="36">
        <f>IF(AND(E44&gt;1,E42&lt;Inputs!$C$59*E44),E$4,999)</f>
        <v>999</v>
      </c>
      <c r="F67" s="36">
        <f>IF(AND(F44&gt;1,F42&lt;Inputs!$C$59*F44),F$4,999)</f>
        <v>999</v>
      </c>
      <c r="G67" s="36">
        <f>IF(AND(G44&gt;1,G42&lt;Inputs!$C$59*G44),G$4,999)</f>
        <v>999</v>
      </c>
      <c r="H67" s="36">
        <f>IF(AND(H44&gt;1,H42&lt;Inputs!$C$59*H44),H$4,999)</f>
        <v>999</v>
      </c>
      <c r="I67" s="36">
        <f>IF(AND(I44&gt;1,I42&lt;Inputs!$C$59*I44),I$4,999)</f>
        <v>999</v>
      </c>
      <c r="J67" s="36">
        <f>IF(AND(J44&gt;1,J42&lt;Inputs!$C$59*J44),J$4,999)</f>
        <v>999</v>
      </c>
      <c r="K67" s="36">
        <f>IF(AND(K44&gt;1,K42&lt;Inputs!$C$59*K44),K$4,999)</f>
        <v>999</v>
      </c>
      <c r="L67" s="36">
        <f>IF(AND(L44&gt;1,L42&lt;Inputs!$C$59*L44),L$4,999)</f>
        <v>9</v>
      </c>
      <c r="M67" s="36">
        <f>IF(AND(M44&gt;1,M42&lt;Inputs!$C$59*M44),M$4,999)</f>
        <v>10</v>
      </c>
      <c r="N67" s="36">
        <f>IF(AND(N44&gt;1,N42&lt;Inputs!$C$59*N44),N$4,999)</f>
        <v>11</v>
      </c>
      <c r="O67" s="36">
        <f>IF(AND(O44&gt;1,O42&lt;Inputs!$C$59*O44),O$4,999)</f>
        <v>12</v>
      </c>
      <c r="P67" s="36">
        <f>IF(AND(P44&gt;1,P42&lt;Inputs!$C$59*P44),P$4,999)</f>
        <v>13</v>
      </c>
      <c r="Q67" s="36">
        <f>IF(AND(Q44&gt;1,Q42&lt;Inputs!$C$59*Q44),Q$4,999)</f>
        <v>14</v>
      </c>
      <c r="R67" s="36">
        <f>IF(AND(R44&gt;1,R42&lt;Inputs!$C$59*R44),R$4,999)</f>
        <v>15</v>
      </c>
      <c r="S67" s="36">
        <f>IF(AND(S44&gt;1,S42&lt;Inputs!$C$59*S44),S$4,999)</f>
        <v>999</v>
      </c>
      <c r="T67" s="36">
        <f>IF(AND(T44&gt;1,T42&lt;Inputs!$C$59*T44),T$4,999)</f>
        <v>999</v>
      </c>
      <c r="U67" s="36">
        <f>IF(AND(U44&gt;1,U42&lt;Inputs!$C$59*U44),U$4,999)</f>
        <v>999</v>
      </c>
      <c r="V67" s="36">
        <f>IF(AND(V44&gt;1,V42&lt;Inputs!$C$59*V44),V$4,999)</f>
        <v>999</v>
      </c>
      <c r="W67" s="36">
        <f>IF(AND(W44&gt;1,W42&lt;Inputs!$C$59*W44),W$4,999)</f>
        <v>999</v>
      </c>
      <c r="X67" s="36">
        <f>IF(AND(X44&gt;1,X42&lt;Inputs!$C$59*X44),X$4,999)</f>
        <v>999</v>
      </c>
      <c r="Y67" s="36">
        <f>IF(AND(Y44&gt;1,Y42&lt;Inputs!$C$59*Y44),Y$4,999)</f>
        <v>999</v>
      </c>
      <c r="Z67" s="36">
        <f>IF(AND(Z44&gt;1,Z42&lt;Inputs!$C$59*Z44),Z$4,999)</f>
        <v>999</v>
      </c>
      <c r="AA67" s="36">
        <f>IF(AND(AA44&gt;1,AA42&lt;Inputs!$C$59*AA44),AA$4,999)</f>
        <v>999</v>
      </c>
      <c r="AB67" s="36">
        <f>IF(AND(AB44&gt;1,AB42&lt;Inputs!$C$59*AB44),AB$4,999)</f>
        <v>999</v>
      </c>
    </row>
    <row r="68" spans="1:28" x14ac:dyDescent="0.25">
      <c r="A68" s="4" t="s">
        <v>390</v>
      </c>
      <c r="B68" s="2" t="s">
        <v>277</v>
      </c>
      <c r="D68" s="36">
        <f t="shared" ref="D68:AB68" si="26">IF(D54&gt;0.5,D$4,999)</f>
        <v>999</v>
      </c>
      <c r="E68" s="36">
        <f t="shared" si="26"/>
        <v>999</v>
      </c>
      <c r="F68" s="36">
        <f t="shared" si="26"/>
        <v>999</v>
      </c>
      <c r="G68" s="36">
        <f t="shared" si="26"/>
        <v>999</v>
      </c>
      <c r="H68" s="36">
        <f t="shared" si="26"/>
        <v>999</v>
      </c>
      <c r="I68" s="36">
        <f t="shared" si="26"/>
        <v>999</v>
      </c>
      <c r="J68" s="36">
        <f t="shared" si="26"/>
        <v>999</v>
      </c>
      <c r="K68" s="36">
        <f t="shared" si="26"/>
        <v>999</v>
      </c>
      <c r="L68" s="36">
        <f t="shared" si="26"/>
        <v>999</v>
      </c>
      <c r="M68" s="36">
        <f t="shared" si="26"/>
        <v>999</v>
      </c>
      <c r="N68" s="36">
        <f t="shared" si="26"/>
        <v>999</v>
      </c>
      <c r="O68" s="36">
        <f t="shared" si="26"/>
        <v>999</v>
      </c>
      <c r="P68" s="36">
        <f t="shared" si="26"/>
        <v>999</v>
      </c>
      <c r="Q68" s="36">
        <f t="shared" si="26"/>
        <v>999</v>
      </c>
      <c r="R68" s="36">
        <f t="shared" si="26"/>
        <v>999</v>
      </c>
      <c r="S68" s="36">
        <f t="shared" si="26"/>
        <v>999</v>
      </c>
      <c r="T68" s="36">
        <f t="shared" si="26"/>
        <v>999</v>
      </c>
      <c r="U68" s="36">
        <f t="shared" si="26"/>
        <v>999</v>
      </c>
      <c r="V68" s="36">
        <f t="shared" si="26"/>
        <v>999</v>
      </c>
      <c r="W68" s="36">
        <f t="shared" si="26"/>
        <v>999</v>
      </c>
      <c r="X68" s="36">
        <f t="shared" si="26"/>
        <v>999</v>
      </c>
      <c r="Y68" s="36">
        <f t="shared" si="26"/>
        <v>999</v>
      </c>
      <c r="Z68" s="36">
        <f t="shared" si="26"/>
        <v>999</v>
      </c>
      <c r="AA68" s="36">
        <f t="shared" si="26"/>
        <v>999</v>
      </c>
      <c r="AB68" s="36">
        <f t="shared" si="26"/>
        <v>999</v>
      </c>
    </row>
    <row r="69" spans="1:28" x14ac:dyDescent="0.25">
      <c r="A69" s="4" t="s">
        <v>391</v>
      </c>
      <c r="B69" s="2" t="s">
        <v>225</v>
      </c>
      <c r="C69" s="5">
        <f>-Inputs!$C$71*Inputs!$C$13</f>
        <v>-4800000</v>
      </c>
      <c r="D69" s="5">
        <f t="shared" ref="D69:AB69" si="27">D36</f>
        <v>311333.03120000003</v>
      </c>
      <c r="E69" s="5">
        <f t="shared" si="27"/>
        <v>311837.66647943994</v>
      </c>
      <c r="F69" s="5">
        <f t="shared" si="27"/>
        <v>312304.72732035542</v>
      </c>
      <c r="G69" s="5">
        <f t="shared" si="27"/>
        <v>312733.2666970077</v>
      </c>
      <c r="H69" s="5">
        <f t="shared" si="27"/>
        <v>239019.75646269321</v>
      </c>
      <c r="I69" s="5">
        <f t="shared" si="27"/>
        <v>236113.21457838319</v>
      </c>
      <c r="J69" s="5">
        <f t="shared" si="27"/>
        <v>233157.04256444119</v>
      </c>
      <c r="K69" s="5">
        <f t="shared" si="27"/>
        <v>230150.11781544244</v>
      </c>
      <c r="L69" s="5">
        <f t="shared" si="27"/>
        <v>227091.29579386485</v>
      </c>
      <c r="M69" s="5">
        <f t="shared" si="27"/>
        <v>223095.03426949593</v>
      </c>
      <c r="N69" s="5">
        <f t="shared" si="27"/>
        <v>218559.92311737975</v>
      </c>
      <c r="O69" s="5">
        <f t="shared" si="27"/>
        <v>213951.95378957118</v>
      </c>
      <c r="P69" s="5">
        <f t="shared" si="27"/>
        <v>209269.50174636714</v>
      </c>
      <c r="Q69" s="5">
        <f t="shared" si="27"/>
        <v>204510.91062677509</v>
      </c>
      <c r="R69" s="5">
        <f t="shared" si="27"/>
        <v>199674.49160940913</v>
      </c>
      <c r="S69" s="5">
        <f t="shared" si="27"/>
        <v>31080.502224963449</v>
      </c>
      <c r="T69" s="5">
        <f t="shared" si="27"/>
        <v>27383.956718456087</v>
      </c>
      <c r="U69" s="5">
        <f t="shared" si="27"/>
        <v>23612.032924022555</v>
      </c>
      <c r="V69" s="5">
        <f t="shared" si="27"/>
        <v>19763.133065415634</v>
      </c>
      <c r="W69" s="5">
        <f t="shared" si="27"/>
        <v>15835.627771704865</v>
      </c>
      <c r="X69" s="5">
        <f t="shared" si="27"/>
        <v>8469.5463494714804</v>
      </c>
      <c r="Y69" s="5">
        <f t="shared" si="27"/>
        <v>4442.4719810478637</v>
      </c>
      <c r="Z69" s="5">
        <f t="shared" si="27"/>
        <v>351.68478643744345</v>
      </c>
      <c r="AA69" s="5">
        <f t="shared" si="27"/>
        <v>-4829.1768100989284</v>
      </c>
      <c r="AB69" s="5">
        <f t="shared" si="27"/>
        <v>-10375.300706925773</v>
      </c>
    </row>
    <row r="70" spans="1:28" x14ac:dyDescent="0.25">
      <c r="A70" s="31" t="s">
        <v>392</v>
      </c>
    </row>
    <row r="71" spans="1:28" x14ac:dyDescent="0.25">
      <c r="A71" s="4" t="s">
        <v>393</v>
      </c>
      <c r="B71" s="2" t="s">
        <v>225</v>
      </c>
      <c r="D71" s="5">
        <f>D64*(1-Inputs!$C$41)</f>
        <v>37669.276260000021</v>
      </c>
      <c r="E71" s="5">
        <f>E64*(1-Inputs!$C$41)</f>
        <v>37893.78514650961</v>
      </c>
      <c r="F71" s="5">
        <f>F64*(1-Inputs!$C$41)</f>
        <v>38119.632105982826</v>
      </c>
      <c r="G71" s="5">
        <f>G64*(1-Inputs!$C$41)</f>
        <v>38346.825113334467</v>
      </c>
      <c r="H71" s="5">
        <f>H64*(1-Inputs!$C$41)</f>
        <v>0</v>
      </c>
      <c r="I71" s="5">
        <f>I64*(1-Inputs!$C$41)</f>
        <v>0</v>
      </c>
      <c r="J71" s="5">
        <f>J64*(1-Inputs!$C$41)</f>
        <v>0</v>
      </c>
      <c r="K71" s="5">
        <f>K64*(1-Inputs!$C$41)</f>
        <v>0</v>
      </c>
      <c r="L71" s="5">
        <f>L64*(1-Inputs!$C$41)</f>
        <v>0</v>
      </c>
      <c r="M71" s="5">
        <f>M64*(1-Inputs!$C$41)</f>
        <v>0</v>
      </c>
      <c r="N71" s="5">
        <f>N64*(1-Inputs!$C$41)</f>
        <v>0</v>
      </c>
      <c r="O71" s="5">
        <f>O64*(1-Inputs!$C$41)</f>
        <v>0</v>
      </c>
      <c r="P71" s="5">
        <f>P64*(1-Inputs!$C$41)</f>
        <v>0</v>
      </c>
      <c r="Q71" s="5">
        <f>Q64*(1-Inputs!$C$41)</f>
        <v>0</v>
      </c>
      <c r="R71" s="5">
        <f>R64*(1-Inputs!$C$41)</f>
        <v>0</v>
      </c>
      <c r="S71" s="5">
        <f>S64*(1-Inputs!$C$41)</f>
        <v>0</v>
      </c>
      <c r="T71" s="5">
        <f>T64*(1-Inputs!$C$41)</f>
        <v>0</v>
      </c>
      <c r="U71" s="5">
        <f>U64*(1-Inputs!$C$41)</f>
        <v>0</v>
      </c>
      <c r="V71" s="5">
        <f>V64*(1-Inputs!$C$41)</f>
        <v>0</v>
      </c>
      <c r="W71" s="5">
        <f>W64*(1-Inputs!$C$41)</f>
        <v>0</v>
      </c>
      <c r="X71" s="5">
        <f>X64*(1-Inputs!$C$41)</f>
        <v>0</v>
      </c>
      <c r="Y71" s="5">
        <f>Y64*(1-Inputs!$C$41)</f>
        <v>0</v>
      </c>
      <c r="Z71" s="5">
        <f>Z64*(1-Inputs!$C$41)</f>
        <v>0</v>
      </c>
      <c r="AA71" s="5">
        <f>AA64*(1-Inputs!$C$41)</f>
        <v>0</v>
      </c>
      <c r="AB71" s="5">
        <f>AB64*(1-Inputs!$C$41)</f>
        <v>0</v>
      </c>
    </row>
    <row r="72" spans="1:28" x14ac:dyDescent="0.25">
      <c r="A72" s="4" t="s">
        <v>394</v>
      </c>
      <c r="B72" s="2" t="s">
        <v>225</v>
      </c>
      <c r="C72" s="5">
        <f>C63</f>
        <v>-3106352.7829650622</v>
      </c>
      <c r="D72" s="5">
        <f t="shared" ref="D72:AB72" si="28">D63+D71</f>
        <v>175655.94641504972</v>
      </c>
      <c r="E72" s="5">
        <f t="shared" si="28"/>
        <v>175753.53627190864</v>
      </c>
      <c r="F72" s="5">
        <f t="shared" si="28"/>
        <v>174714.2490132495</v>
      </c>
      <c r="G72" s="5">
        <f t="shared" si="28"/>
        <v>173445.48962248489</v>
      </c>
      <c r="H72" s="5">
        <f t="shared" si="28"/>
        <v>39672.607518476812</v>
      </c>
      <c r="I72" s="5">
        <f t="shared" si="28"/>
        <v>34946.500076420343</v>
      </c>
      <c r="J72" s="5">
        <f t="shared" si="28"/>
        <v>30120.622017171874</v>
      </c>
      <c r="K72" s="5">
        <f t="shared" si="28"/>
        <v>25191.251094435371</v>
      </c>
      <c r="L72" s="5">
        <f t="shared" si="28"/>
        <v>0</v>
      </c>
      <c r="M72" s="5">
        <f t="shared" si="28"/>
        <v>0</v>
      </c>
      <c r="N72" s="5">
        <f t="shared" si="28"/>
        <v>0</v>
      </c>
      <c r="O72" s="5">
        <f t="shared" si="28"/>
        <v>0</v>
      </c>
      <c r="P72" s="5">
        <f t="shared" si="28"/>
        <v>0</v>
      </c>
      <c r="Q72" s="5">
        <f t="shared" si="28"/>
        <v>0</v>
      </c>
      <c r="R72" s="5">
        <f t="shared" si="28"/>
        <v>0</v>
      </c>
      <c r="S72" s="5">
        <f t="shared" si="28"/>
        <v>164337.72345333153</v>
      </c>
      <c r="T72" s="5">
        <f t="shared" si="28"/>
        <v>27383.956718456087</v>
      </c>
      <c r="U72" s="5">
        <f t="shared" si="28"/>
        <v>23612.032924022555</v>
      </c>
      <c r="V72" s="5">
        <f t="shared" si="28"/>
        <v>19763.133065415634</v>
      </c>
      <c r="W72" s="5">
        <f t="shared" si="28"/>
        <v>15835.627771704865</v>
      </c>
      <c r="X72" s="5">
        <f t="shared" si="28"/>
        <v>8469.5463494714804</v>
      </c>
      <c r="Y72" s="5">
        <f t="shared" si="28"/>
        <v>4442.4719810478637</v>
      </c>
      <c r="Z72" s="5">
        <f t="shared" si="28"/>
        <v>351.68478643744345</v>
      </c>
      <c r="AA72" s="5">
        <f t="shared" si="28"/>
        <v>-4829.1768100989284</v>
      </c>
      <c r="AB72" s="5">
        <f t="shared" si="28"/>
        <v>-10375.300706925773</v>
      </c>
    </row>
    <row r="73" spans="1:28" x14ac:dyDescent="0.25">
      <c r="A73" s="4" t="s">
        <v>395</v>
      </c>
      <c r="B73" s="2" t="s">
        <v>225</v>
      </c>
      <c r="C73" s="5">
        <f>C69</f>
        <v>-4800000</v>
      </c>
      <c r="D73" s="5">
        <f t="shared" ref="D73:AB73" si="29">D69+D71</f>
        <v>349002.30746000004</v>
      </c>
      <c r="E73" s="5">
        <f t="shared" si="29"/>
        <v>349731.45162594953</v>
      </c>
      <c r="F73" s="5">
        <f t="shared" si="29"/>
        <v>350424.35942633823</v>
      </c>
      <c r="G73" s="5">
        <f t="shared" si="29"/>
        <v>351080.09181034216</v>
      </c>
      <c r="H73" s="5">
        <f t="shared" si="29"/>
        <v>239019.75646269321</v>
      </c>
      <c r="I73" s="5">
        <f t="shared" si="29"/>
        <v>236113.21457838319</v>
      </c>
      <c r="J73" s="5">
        <f t="shared" si="29"/>
        <v>233157.04256444119</v>
      </c>
      <c r="K73" s="5">
        <f t="shared" si="29"/>
        <v>230150.11781544244</v>
      </c>
      <c r="L73" s="5">
        <f t="shared" si="29"/>
        <v>227091.29579386485</v>
      </c>
      <c r="M73" s="5">
        <f t="shared" si="29"/>
        <v>223095.03426949593</v>
      </c>
      <c r="N73" s="5">
        <f t="shared" si="29"/>
        <v>218559.92311737975</v>
      </c>
      <c r="O73" s="5">
        <f t="shared" si="29"/>
        <v>213951.95378957118</v>
      </c>
      <c r="P73" s="5">
        <f t="shared" si="29"/>
        <v>209269.50174636714</v>
      </c>
      <c r="Q73" s="5">
        <f t="shared" si="29"/>
        <v>204510.91062677509</v>
      </c>
      <c r="R73" s="5">
        <f t="shared" si="29"/>
        <v>199674.49160940913</v>
      </c>
      <c r="S73" s="5">
        <f t="shared" si="29"/>
        <v>31080.502224963449</v>
      </c>
      <c r="T73" s="5">
        <f t="shared" si="29"/>
        <v>27383.956718456087</v>
      </c>
      <c r="U73" s="5">
        <f t="shared" si="29"/>
        <v>23612.032924022555</v>
      </c>
      <c r="V73" s="5">
        <f t="shared" si="29"/>
        <v>19763.133065415634</v>
      </c>
      <c r="W73" s="5">
        <f t="shared" si="29"/>
        <v>15835.627771704865</v>
      </c>
      <c r="X73" s="5">
        <f t="shared" si="29"/>
        <v>8469.5463494714804</v>
      </c>
      <c r="Y73" s="5">
        <f t="shared" si="29"/>
        <v>4442.4719810478637</v>
      </c>
      <c r="Z73" s="5">
        <f t="shared" si="29"/>
        <v>351.68478643744345</v>
      </c>
      <c r="AA73" s="5">
        <f t="shared" si="29"/>
        <v>-4829.1768100989284</v>
      </c>
      <c r="AB73" s="5">
        <f t="shared" si="29"/>
        <v>-10375.300706925773</v>
      </c>
    </row>
    <row r="74" spans="1:28" x14ac:dyDescent="0.25">
      <c r="A74" s="4" t="s">
        <v>396</v>
      </c>
      <c r="B74" s="2" t="s">
        <v>225</v>
      </c>
      <c r="C74" s="5">
        <f>C73</f>
        <v>-4800000</v>
      </c>
      <c r="D74" s="5">
        <f t="shared" ref="D74:AB74" si="30">C74+D73</f>
        <v>-4450997.6925400002</v>
      </c>
      <c r="E74" s="5">
        <f t="shared" si="30"/>
        <v>-4101266.2409140505</v>
      </c>
      <c r="F74" s="5">
        <f t="shared" si="30"/>
        <v>-3750841.8814877123</v>
      </c>
      <c r="G74" s="5">
        <f t="shared" si="30"/>
        <v>-3399761.7896773703</v>
      </c>
      <c r="H74" s="5">
        <f t="shared" si="30"/>
        <v>-3160742.0332146771</v>
      </c>
      <c r="I74" s="5">
        <f t="shared" si="30"/>
        <v>-2924628.818636294</v>
      </c>
      <c r="J74" s="5">
        <f t="shared" si="30"/>
        <v>-2691471.776071853</v>
      </c>
      <c r="K74" s="5">
        <f t="shared" si="30"/>
        <v>-2461321.6582564106</v>
      </c>
      <c r="L74" s="5">
        <f t="shared" si="30"/>
        <v>-2234230.3624625457</v>
      </c>
      <c r="M74" s="5">
        <f t="shared" si="30"/>
        <v>-2011135.3281930499</v>
      </c>
      <c r="N74" s="5">
        <f t="shared" si="30"/>
        <v>-1792575.4050756702</v>
      </c>
      <c r="O74" s="5">
        <f t="shared" si="30"/>
        <v>-1578623.4512860989</v>
      </c>
      <c r="P74" s="5">
        <f t="shared" si="30"/>
        <v>-1369353.9495397317</v>
      </c>
      <c r="Q74" s="5">
        <f t="shared" si="30"/>
        <v>-1164843.0389129566</v>
      </c>
      <c r="R74" s="5">
        <f t="shared" si="30"/>
        <v>-965168.5473035475</v>
      </c>
      <c r="S74" s="5">
        <f t="shared" si="30"/>
        <v>-934088.04507858399</v>
      </c>
      <c r="T74" s="5">
        <f t="shared" si="30"/>
        <v>-906704.08836012788</v>
      </c>
      <c r="U74" s="5">
        <f t="shared" si="30"/>
        <v>-883092.05543610535</v>
      </c>
      <c r="V74" s="5">
        <f t="shared" si="30"/>
        <v>-863328.92237068969</v>
      </c>
      <c r="W74" s="5">
        <f t="shared" si="30"/>
        <v>-847493.29459898476</v>
      </c>
      <c r="X74" s="5">
        <f t="shared" si="30"/>
        <v>-839023.74824951333</v>
      </c>
      <c r="Y74" s="5">
        <f t="shared" si="30"/>
        <v>-834581.27626846544</v>
      </c>
      <c r="Z74" s="5">
        <f t="shared" si="30"/>
        <v>-834229.59148202802</v>
      </c>
      <c r="AA74" s="5">
        <f t="shared" si="30"/>
        <v>-839058.76829212694</v>
      </c>
      <c r="AB74" s="5">
        <f t="shared" si="30"/>
        <v>-849434.06899905275</v>
      </c>
    </row>
    <row r="75" spans="1:28" x14ac:dyDescent="0.25">
      <c r="A75" s="4" t="s">
        <v>397</v>
      </c>
      <c r="B75" s="2" t="s">
        <v>277</v>
      </c>
      <c r="D75" s="36">
        <f t="shared" ref="D75:AB75" si="31">IF(AND(D74&gt;=0,C74&lt;0),D$4,999)</f>
        <v>999</v>
      </c>
      <c r="E75" s="36">
        <f t="shared" si="31"/>
        <v>999</v>
      </c>
      <c r="F75" s="36">
        <f t="shared" si="31"/>
        <v>999</v>
      </c>
      <c r="G75" s="36">
        <f t="shared" si="31"/>
        <v>999</v>
      </c>
      <c r="H75" s="36">
        <f t="shared" si="31"/>
        <v>999</v>
      </c>
      <c r="I75" s="36">
        <f t="shared" si="31"/>
        <v>999</v>
      </c>
      <c r="J75" s="36">
        <f t="shared" si="31"/>
        <v>999</v>
      </c>
      <c r="K75" s="36">
        <f t="shared" si="31"/>
        <v>999</v>
      </c>
      <c r="L75" s="36">
        <f t="shared" si="31"/>
        <v>999</v>
      </c>
      <c r="M75" s="36">
        <f t="shared" si="31"/>
        <v>999</v>
      </c>
      <c r="N75" s="36">
        <f t="shared" si="31"/>
        <v>999</v>
      </c>
      <c r="O75" s="36">
        <f t="shared" si="31"/>
        <v>999</v>
      </c>
      <c r="P75" s="36">
        <f t="shared" si="31"/>
        <v>999</v>
      </c>
      <c r="Q75" s="36">
        <f t="shared" si="31"/>
        <v>999</v>
      </c>
      <c r="R75" s="36">
        <f t="shared" si="31"/>
        <v>999</v>
      </c>
      <c r="S75" s="36">
        <f t="shared" si="31"/>
        <v>999</v>
      </c>
      <c r="T75" s="36">
        <f t="shared" si="31"/>
        <v>999</v>
      </c>
      <c r="U75" s="36">
        <f t="shared" si="31"/>
        <v>999</v>
      </c>
      <c r="V75" s="36">
        <f t="shared" si="31"/>
        <v>999</v>
      </c>
      <c r="W75" s="36">
        <f t="shared" si="31"/>
        <v>999</v>
      </c>
      <c r="X75" s="36">
        <f t="shared" si="31"/>
        <v>999</v>
      </c>
      <c r="Y75" s="36">
        <f t="shared" si="31"/>
        <v>999</v>
      </c>
      <c r="Z75" s="36">
        <f t="shared" si="31"/>
        <v>999</v>
      </c>
      <c r="AA75" s="36">
        <f t="shared" si="31"/>
        <v>999</v>
      </c>
      <c r="AB75" s="36">
        <f t="shared" si="31"/>
        <v>999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5"/>
  <sheetViews>
    <sheetView showGridLines="0" workbookViewId="0"/>
  </sheetViews>
  <sheetFormatPr defaultRowHeight="15" x14ac:dyDescent="0.25"/>
  <cols>
    <col min="1" max="1" width="64" customWidth="1"/>
    <col min="2" max="2" width="3" customWidth="1"/>
    <col min="3" max="3" width="16" customWidth="1"/>
  </cols>
  <sheetData>
    <row r="1" spans="1:3" ht="16.5" x14ac:dyDescent="0.25">
      <c r="A1" s="1" t="s">
        <v>400</v>
      </c>
    </row>
    <row r="2" spans="1:3" x14ac:dyDescent="0.25">
      <c r="A2" s="2" t="s">
        <v>401</v>
      </c>
    </row>
    <row r="4" spans="1:3" x14ac:dyDescent="0.25">
      <c r="A4" s="4" t="s">
        <v>402</v>
      </c>
      <c r="C4" s="12">
        <f>Debt!C22</f>
        <v>2000000</v>
      </c>
    </row>
    <row r="5" spans="1:3" x14ac:dyDescent="0.25">
      <c r="A5" s="4" t="s">
        <v>4</v>
      </c>
      <c r="C5" s="16">
        <f>Inputs!$C$69</f>
        <v>7.4999999999999997E-2</v>
      </c>
    </row>
    <row r="6" spans="1:3" x14ac:dyDescent="0.25">
      <c r="A6" s="4" t="s">
        <v>403</v>
      </c>
      <c r="C6" s="15">
        <f>Inputs!$C$70</f>
        <v>4</v>
      </c>
    </row>
    <row r="7" spans="1:3" x14ac:dyDescent="0.25">
      <c r="A7" s="4" t="s">
        <v>404</v>
      </c>
      <c r="C7" s="12">
        <f>C4*C5</f>
        <v>150000</v>
      </c>
    </row>
    <row r="8" spans="1:3" x14ac:dyDescent="0.25">
      <c r="A8" s="4" t="s">
        <v>405</v>
      </c>
      <c r="C8" s="13">
        <f>'Case A'!D36/C7</f>
        <v>2.0755535413333335</v>
      </c>
    </row>
    <row r="9" spans="1:3" x14ac:dyDescent="0.25">
      <c r="A9" s="4" t="s">
        <v>406</v>
      </c>
      <c r="C9" s="12">
        <f>SUM('Case A'!D36:INDEX('Case A'!D36:AB36,1,C6))-C7*C6</f>
        <v>648208.69169680309</v>
      </c>
    </row>
    <row r="10" spans="1:3" x14ac:dyDescent="0.25">
      <c r="A10" s="4" t="s">
        <v>407</v>
      </c>
      <c r="C10" s="12">
        <f>C4</f>
        <v>2000000</v>
      </c>
    </row>
    <row r="11" spans="1:3" x14ac:dyDescent="0.25">
      <c r="A11" s="4" t="s">
        <v>408</v>
      </c>
      <c r="C11" s="12">
        <f>MAX(0,C10-C9)</f>
        <v>1351791.3083031969</v>
      </c>
    </row>
    <row r="12" spans="1:3" x14ac:dyDescent="0.25">
      <c r="A12" s="4" t="s">
        <v>409</v>
      </c>
      <c r="C12" s="16">
        <f>C11/C10</f>
        <v>0.67589565415159847</v>
      </c>
    </row>
    <row r="14" spans="1:3" x14ac:dyDescent="0.25">
      <c r="A14" s="4" t="s">
        <v>410</v>
      </c>
      <c r="C14" s="12">
        <f>C7*C6</f>
        <v>600000</v>
      </c>
    </row>
    <row r="15" spans="1:3" x14ac:dyDescent="0.25">
      <c r="A15" s="4" t="s">
        <v>411</v>
      </c>
      <c r="C15" s="12">
        <f>SUM(Debt!D14:INDEX(Debt!D14:AB14,1,C6))</f>
        <v>486324.39220698865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Inputs</vt:lpstr>
      <vt:lpstr>Sources &amp; Uses</vt:lpstr>
      <vt:lpstr>Debt</vt:lpstr>
      <vt:lpstr>Case A</vt:lpstr>
      <vt:lpstr>Case B</vt:lpstr>
      <vt:lpstr>Downside</vt:lpstr>
      <vt:lpstr>Short bond comparison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Manuel Suhrcke</cp:lastModifiedBy>
  <dcterms:created xsi:type="dcterms:W3CDTF">2026-10-13T22:10:05Z</dcterms:created>
  <dcterms:modified xsi:type="dcterms:W3CDTF">2026-10-13T22:10:10Z</dcterms:modified>
</cp:coreProperties>
</file>